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20" windowWidth="15480" windowHeight="5568" tabRatio="930" firstSheet="3" activeTab="3"/>
  </bookViews>
  <sheets>
    <sheet name="6мес (от плана)" sheetId="1" state="hidden" r:id="rId1"/>
    <sheet name="7мес" sheetId="2" state="hidden" r:id="rId2"/>
    <sheet name="8мес" sheetId="3" state="hidden" r:id="rId3"/>
    <sheet name="2ф1  6 мес  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fn.BAHTTEXT" hidden="1">#NAME?</definedName>
    <definedName name="Z_366BCDAD_A223_4124_9467_9028F89F3F59_.wvu.PrintArea" localSheetId="3" hidden="1">'2ф1  6 мес  '!$A$1:$F$66</definedName>
    <definedName name="Z_366BCDAD_A223_4124_9467_9028F89F3F59_.wvu.PrintArea" localSheetId="0" hidden="1">'6мес (от плана)'!$A$1:$H$113</definedName>
    <definedName name="Z_366BCDAD_A223_4124_9467_9028F89F3F59_.wvu.PrintArea" localSheetId="1" hidden="1">'7мес'!$A$1:$H$113</definedName>
    <definedName name="Z_366BCDAD_A223_4124_9467_9028F89F3F59_.wvu.PrintArea" localSheetId="2" hidden="1">'8мес'!$A$1:$I$114</definedName>
    <definedName name="Z_366BCDAD_A223_4124_9467_9028F89F3F59_.wvu.PrintTitles" localSheetId="3" hidden="1">'2ф1  6 мес  '!$13:$16</definedName>
    <definedName name="Z_366BCDAD_A223_4124_9467_9028F89F3F59_.wvu.PrintTitles" localSheetId="0" hidden="1">'6мес (от плана)'!$5:$7</definedName>
    <definedName name="Z_366BCDAD_A223_4124_9467_9028F89F3F59_.wvu.PrintTitles" localSheetId="1" hidden="1">'7мес'!$5:$7</definedName>
    <definedName name="Z_366BCDAD_A223_4124_9467_9028F89F3F59_.wvu.PrintTitles" localSheetId="2" hidden="1">'8мес'!$5:$7</definedName>
    <definedName name="Z_366BCDAD_A223_4124_9467_9028F89F3F59_.wvu.Rows" localSheetId="3" hidden="1">'2ф1  6 мес  '!#REF!,'2ф1  6 мес  '!#REF!,'2ф1  6 мес  '!#REF!,'2ф1  6 мес  '!#REF!,'2ф1  6 мес  '!#REF!,'2ф1  6 мес  '!#REF!,'2ф1  6 мес  '!#REF!,'2ф1  6 мес  '!#REF!</definedName>
    <definedName name="Z_366BCDAD_A223_4124_9467_9028F89F3F59_.wvu.Rows" localSheetId="0" hidden="1">'6мес (от плана)'!#REF!,'6мес (от плана)'!#REF!,'6мес (от плана)'!#REF!,'6мес (от плана)'!#REF!,'6мес (от плана)'!#REF!,'6мес (от плана)'!#REF!,'6мес (от плана)'!#REF!,'6мес (от плана)'!#REF!</definedName>
    <definedName name="Z_366BCDAD_A223_4124_9467_9028F89F3F59_.wvu.Rows" localSheetId="1" hidden="1">'7мес'!#REF!,'7мес'!#REF!,'7мес'!#REF!,'7мес'!#REF!,'7мес'!#REF!,'7мес'!#REF!,'7мес'!#REF!,'7мес'!#REF!</definedName>
    <definedName name="Z_366BCDAD_A223_4124_9467_9028F89F3F59_.wvu.Rows" localSheetId="2" hidden="1">'8мес'!#REF!,'8мес'!#REF!,'8мес'!#REF!,'8мес'!#REF!,'8мес'!#REF!,'8мес'!#REF!,'8мес'!#REF!,'8мес'!#REF!</definedName>
    <definedName name="Z_5CB77068_DD01_4AAE_AEDC_C873E224D8A1_.wvu.PrintArea" localSheetId="3" hidden="1">'2ф1  6 мес  '!$A$1:$F$66</definedName>
    <definedName name="Z_5CB77068_DD01_4AAE_AEDC_C873E224D8A1_.wvu.PrintArea" localSheetId="0" hidden="1">'6мес (от плана)'!$A$1:$H$113</definedName>
    <definedName name="Z_5CB77068_DD01_4AAE_AEDC_C873E224D8A1_.wvu.PrintArea" localSheetId="1" hidden="1">'7мес'!$A$1:$H$113</definedName>
    <definedName name="Z_5CB77068_DD01_4AAE_AEDC_C873E224D8A1_.wvu.PrintArea" localSheetId="2" hidden="1">'8мес'!$A$1:$I$114</definedName>
    <definedName name="Z_5CB77068_DD01_4AAE_AEDC_C873E224D8A1_.wvu.PrintTitles" localSheetId="3" hidden="1">'2ф1  6 мес  '!$13:$16</definedName>
    <definedName name="Z_5CB77068_DD01_4AAE_AEDC_C873E224D8A1_.wvu.PrintTitles" localSheetId="0" hidden="1">'6мес (от плана)'!$5:$7</definedName>
    <definedName name="Z_5CB77068_DD01_4AAE_AEDC_C873E224D8A1_.wvu.PrintTitles" localSheetId="1" hidden="1">'7мес'!$5:$7</definedName>
    <definedName name="Z_5CB77068_DD01_4AAE_AEDC_C873E224D8A1_.wvu.PrintTitles" localSheetId="2" hidden="1">'8мес'!$5:$7</definedName>
    <definedName name="Z_5CB77068_DD01_4AAE_AEDC_C873E224D8A1_.wvu.Rows" localSheetId="3" hidden="1">'2ф1  6 мес  '!#REF!,'2ф1  6 мес  '!#REF!,'2ф1  6 мес  '!#REF!,'2ф1  6 мес  '!#REF!,'2ф1  6 мес  '!#REF!,'2ф1  6 мес  '!#REF!,'2ф1  6 мес  '!#REF!,'2ф1  6 мес  '!#REF!</definedName>
    <definedName name="Z_5CB77068_DD01_4AAE_AEDC_C873E224D8A1_.wvu.Rows" localSheetId="0" hidden="1">'6мес (от плана)'!#REF!,'6мес (от плана)'!#REF!,'6мес (от плана)'!#REF!,'6мес (от плана)'!#REF!,'6мес (от плана)'!#REF!,'6мес (от плана)'!#REF!,'6мес (от плана)'!#REF!,'6мес (от плана)'!#REF!</definedName>
    <definedName name="Z_5CB77068_DD01_4AAE_AEDC_C873E224D8A1_.wvu.Rows" localSheetId="1" hidden="1">'7мес'!#REF!,'7мес'!#REF!,'7мес'!#REF!,'7мес'!#REF!,'7мес'!#REF!,'7мес'!#REF!,'7мес'!#REF!,'7мес'!#REF!</definedName>
    <definedName name="Z_5CB77068_DD01_4AAE_AEDC_C873E224D8A1_.wvu.Rows" localSheetId="2" hidden="1">'8мес'!#REF!,'8мес'!#REF!,'8мес'!#REF!,'8мес'!#REF!,'8мес'!#REF!,'8мес'!#REF!,'8мес'!#REF!,'8мес'!#REF!</definedName>
    <definedName name="Z_AA8FD3B9_798D_484F_B3B6_FFFA7AE253D4_.wvu.PrintArea" localSheetId="3" hidden="1">'2ф1  6 мес  '!$A$1:$B$63</definedName>
    <definedName name="Z_AA8FD3B9_798D_484F_B3B6_FFFA7AE253D4_.wvu.PrintArea" localSheetId="0" hidden="1">'6мес (от плана)'!$A$1:$B$109</definedName>
    <definedName name="Z_AA8FD3B9_798D_484F_B3B6_FFFA7AE253D4_.wvu.PrintArea" localSheetId="1" hidden="1">'7мес'!$A$1:$B$109</definedName>
    <definedName name="Z_AA8FD3B9_798D_484F_B3B6_FFFA7AE253D4_.wvu.PrintArea" localSheetId="2" hidden="1">'8мес'!$A$1:$B$109</definedName>
    <definedName name="Z_AA8FD3B9_798D_484F_B3B6_FFFA7AE253D4_.wvu.Rows" localSheetId="3" hidden="1">'2ф1  6 мес  '!#REF!</definedName>
    <definedName name="Z_AA8FD3B9_798D_484F_B3B6_FFFA7AE253D4_.wvu.Rows" localSheetId="0" hidden="1">'6мес (от плана)'!#REF!</definedName>
    <definedName name="Z_AA8FD3B9_798D_484F_B3B6_FFFA7AE253D4_.wvu.Rows" localSheetId="1" hidden="1">'7мес'!#REF!</definedName>
    <definedName name="Z_AA8FD3B9_798D_484F_B3B6_FFFA7AE253D4_.wvu.Rows" localSheetId="2" hidden="1">'8мес'!#REF!</definedName>
    <definedName name="а1">#REF!</definedName>
    <definedName name="вв">#REF!</definedName>
    <definedName name="д">#REF!</definedName>
    <definedName name="_xlnm.Print_Titles" localSheetId="3">'2ф1  6 мес  '!$13:$16</definedName>
    <definedName name="_xlnm.Print_Titles" localSheetId="0">'6мес (от плана)'!$5:$7</definedName>
    <definedName name="_xlnm.Print_Titles" localSheetId="1">'7мес'!$5:$7</definedName>
    <definedName name="_xlnm.Print_Titles" localSheetId="2">'8мес'!$5:$7</definedName>
    <definedName name="Заголовок">#REF!</definedName>
    <definedName name="Инв">#REF!</definedName>
    <definedName name="_xlnm.Print_Area" localSheetId="3">'2ф1  6 мес  '!$A$1:$H$76</definedName>
    <definedName name="_xlnm.Print_Area" localSheetId="0">'6мес (от плана)'!$A$1:$J$119</definedName>
    <definedName name="_xlnm.Print_Area" localSheetId="1">'7мес'!$A$1:$J$137</definedName>
    <definedName name="_xlnm.Print_Area" localSheetId="2">'8мес'!$A$1:$K$127</definedName>
    <definedName name="ф">#REF!</definedName>
    <definedName name="ы">#REF!</definedName>
    <definedName name="ЮУЖД">#REF!</definedName>
  </definedNames>
  <calcPr fullCalcOnLoad="1"/>
</workbook>
</file>

<file path=xl/comments1.xml><?xml version="1.0" encoding="utf-8"?>
<comments xmlns="http://schemas.openxmlformats.org/spreadsheetml/2006/main">
  <authors>
    <author>aE-vedekonstplan</author>
    <author>Шевелева Райса Есимовна</author>
  </authors>
  <commentList>
    <comment ref="B17" authorId="0">
      <text>
        <r>
          <rPr>
            <b/>
            <sz val="8"/>
            <rFont val="Tahoma"/>
            <family val="2"/>
          </rPr>
          <t>aE-vedekonstplan:</t>
        </r>
        <r>
          <rPr>
            <sz val="8"/>
            <rFont val="Tahoma"/>
            <family val="2"/>
          </rPr>
          <t xml:space="preserve">
сотка в ээ в основных затратах 
по теплу за счёт прибыли</t>
        </r>
      </text>
    </comment>
    <comment ref="B57" authorId="0">
      <text>
        <r>
          <rPr>
            <b/>
            <sz val="8"/>
            <rFont val="Tahoma"/>
            <family val="2"/>
          </rPr>
          <t>aE-vedekonstplan:</t>
        </r>
        <r>
          <rPr>
            <sz val="8"/>
            <rFont val="Tahoma"/>
            <family val="2"/>
          </rPr>
          <t xml:space="preserve">
отклонения в стоимости ОС</t>
        </r>
      </text>
    </comment>
    <comment ref="B58" authorId="0">
      <text>
        <r>
          <rPr>
            <b/>
            <sz val="8"/>
            <rFont val="Tahoma"/>
            <family val="2"/>
          </rPr>
          <t>aE-vedekonstplan:</t>
        </r>
        <r>
          <rPr>
            <sz val="8"/>
            <rFont val="Tahoma"/>
            <family val="2"/>
          </rPr>
          <t xml:space="preserve">
только по теплу, по ээ в тарифной части</t>
        </r>
      </text>
    </comment>
    <comment ref="B75" authorId="0">
      <text>
        <r>
          <rPr>
            <b/>
            <sz val="8"/>
            <rFont val="Tahoma"/>
            <family val="2"/>
          </rPr>
          <t>aE-vedekonstplan:</t>
        </r>
        <r>
          <rPr>
            <sz val="8"/>
            <rFont val="Tahoma"/>
            <family val="2"/>
          </rPr>
          <t xml:space="preserve">
только затраты по теплу по ээ в тарифной части</t>
        </r>
      </text>
    </comment>
    <comment ref="G61" authorId="1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40,80 ты.тенге услуги по доставке кореспонденции,
3296,31184 тыс.тенге *0,17- сопровождение ПО,
1350 тыс.тенге *0,17- аудит СМК</t>
        </r>
      </text>
    </comment>
    <comment ref="G34" authorId="1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22,142 тыс.тенге -питьевая вода</t>
        </r>
      </text>
    </comment>
    <comment ref="H34" authorId="1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108,106 тыс.тенге -питьевая вода</t>
        </r>
      </text>
    </comment>
    <comment ref="G47" authorId="1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68,70322*0,17 -бензин января  договор  с 01.02.21г</t>
        </r>
      </text>
    </comment>
    <comment ref="G43" authorId="1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за минусом  январь договор с 02.21г</t>
        </r>
      </text>
    </comment>
    <comment ref="G36" authorId="1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260,21064 тыс.тенге -бензин,
13,73661 тыс.тенге -  масло трансмиссионное ЛУКОЙЛ,
8,36513 тыс.тенге -материалы (фильтры,шайба)</t>
        </r>
      </text>
    </comment>
    <comment ref="G27" authorId="1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5,969 тыс.тенге - услуги почты затраты с января по март перенесены за счет рентабельности ,так как договор заключен 20.04.21г на 2021г</t>
        </r>
      </text>
    </comment>
    <comment ref="G94" authorId="1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5,969 тыс.тенге - услуги почты затраты с января по март перенесены за счет рентабельности ,так как договор заключен 20.04.21г на 2021г,
28,05528 *0,17 - соц сфера (полотпнца и стаканчики и т.д).
28,564*0,17 -доска почета
40,020 тыс.тенге -затраты января договор с 01.02.21г.инкасация
68,70322*0,17 -бензин января,договор с 01.02.2021г.,</t>
        </r>
      </text>
    </comment>
    <comment ref="G26" authorId="1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40,020 тыс.тенге -затраты января договор с 01.02.21г</t>
        </r>
      </text>
    </comment>
  </commentList>
</comments>
</file>

<file path=xl/comments2.xml><?xml version="1.0" encoding="utf-8"?>
<comments xmlns="http://schemas.openxmlformats.org/spreadsheetml/2006/main">
  <authors>
    <author>aE-vedekonstplan</author>
    <author>Филинская Елена Викторовна</author>
    <author>Шевелева Райса Есимовна</author>
  </authors>
  <commentList>
    <comment ref="B17" authorId="0">
      <text>
        <r>
          <rPr>
            <b/>
            <sz val="8"/>
            <rFont val="Tahoma"/>
            <family val="2"/>
          </rPr>
          <t>aE-vedekonstplan:</t>
        </r>
        <r>
          <rPr>
            <sz val="8"/>
            <rFont val="Tahoma"/>
            <family val="2"/>
          </rPr>
          <t xml:space="preserve">
сотка в ээ в основных затратах 
по теплу за счёт прибыли</t>
        </r>
      </text>
    </comment>
    <comment ref="B45" authorId="0">
      <text>
        <r>
          <rPr>
            <b/>
            <sz val="8"/>
            <rFont val="Tahoma"/>
            <family val="2"/>
          </rPr>
          <t>aE-vedekonstplan:</t>
        </r>
        <r>
          <rPr>
            <sz val="8"/>
            <rFont val="Tahoma"/>
            <family val="2"/>
          </rPr>
          <t xml:space="preserve">
по тэ - утилизация ДРЛ, ремонт ККМ</t>
        </r>
      </text>
    </comment>
    <comment ref="B57" authorId="0">
      <text>
        <r>
          <rPr>
            <b/>
            <sz val="8"/>
            <rFont val="Tahoma"/>
            <family val="2"/>
          </rPr>
          <t>aE-vedekonstplan:</t>
        </r>
        <r>
          <rPr>
            <sz val="8"/>
            <rFont val="Tahoma"/>
            <family val="2"/>
          </rPr>
          <t xml:space="preserve">
отклонения в стоимости ОС</t>
        </r>
      </text>
    </comment>
    <comment ref="B58" authorId="0">
      <text>
        <r>
          <rPr>
            <b/>
            <sz val="8"/>
            <rFont val="Tahoma"/>
            <family val="2"/>
          </rPr>
          <t>aE-vedekonstplan:</t>
        </r>
        <r>
          <rPr>
            <sz val="8"/>
            <rFont val="Tahoma"/>
            <family val="2"/>
          </rPr>
          <t xml:space="preserve">
только по теплу, по ээ в тарифной части</t>
        </r>
      </text>
    </comment>
    <comment ref="B75" authorId="0">
      <text>
        <r>
          <rPr>
            <b/>
            <sz val="8"/>
            <rFont val="Tahoma"/>
            <family val="2"/>
          </rPr>
          <t>aE-vedekonstplan:</t>
        </r>
        <r>
          <rPr>
            <sz val="8"/>
            <rFont val="Tahoma"/>
            <family val="2"/>
          </rPr>
          <t xml:space="preserve">
только затраты по теплу по ээ в тарифной части</t>
        </r>
      </text>
    </comment>
    <comment ref="B66" authorId="1">
      <text>
        <r>
          <rPr>
            <b/>
            <sz val="9"/>
            <rFont val="Tahoma"/>
            <family val="2"/>
          </rPr>
          <t>Филинская Елена Викторовна:</t>
        </r>
        <r>
          <rPr>
            <sz val="9"/>
            <rFont val="Tahoma"/>
            <family val="2"/>
          </rPr>
          <t xml:space="preserve">
тмц, доска почета, празд даты, путевки</t>
        </r>
      </text>
    </comment>
    <comment ref="G34" authorId="2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25,149 тыс.тенге- питьевая вода</t>
        </r>
      </text>
    </comment>
    <comment ref="H34" authorId="2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122,787 тыс.тенге- питьевая вода</t>
        </r>
      </text>
    </comment>
    <comment ref="G45" authorId="2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8,99640 тыс.тенге - изготовление вывесок,
126,67550 тыс.тенге -Жаса Жарнама печать  сч/изв.,
84,214 тыс.тенге -гидрометеослужба,
5,851 тыс.тенге доступ к интернет ресурсу Учет Kz,
26,566 тыс.тенге -гос услуги,
3,876 тыс.тенге-ремонт холодильника,
54,351 тыс.тенге-тех.обсл системы видеонаб. и расздвижных ворот(БОЕЦ)
14,344 тыс.тенге -обслуживание ККС ,СДБ</t>
        </r>
      </text>
    </comment>
    <comment ref="G61" authorId="2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229,5 тыс.тенге -Аудит СМК,
Ensoft № 56 от 27.01.21г -13,661 тыс.тенге 
Ensoft № 63 от 27.01.21г -88,204 тыс.тенге 
Ensoft № 64 от 27.01.21г - 265,363тыс.тенге 
Ensoft № 66 от 27.01.21г - 111,808 тыс.тенге
ЦАЭК №14 от 29.01.21г -172,456 тыс.тенге.
47,6 тыс.тенге -доставка</t>
        </r>
      </text>
    </comment>
    <comment ref="G46" authorId="2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3,027 тыс.тенге -ТО  авто,
2,465 тыс.тенге замена тормозной колодки,
4,857 тыс.тенге -шиномантаж</t>
        </r>
      </text>
    </comment>
    <comment ref="H45" authorId="2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43,92360 тыс.тенге - изготовление вывесок,
618,47450 тыс.тенге -Жаса Жарнама печать  сч/изв.,
1120,5 тыс.тенге -Аудит СМК,
28,566 тыс.тенге доступ к интернет ресурсу Учет Kz,
129,702 тыс.тенге -гос услуги,
18,924тыс.тенге-ремонт холодильника,
265,362 тыс.тенге-тех.обсл системы видеонаб. и расздвижных ворот(БОЕЦ),
Ensoft № 56 от 27.01.21г -66,696 тыс.тенге 
Ensoft № 63 от 27.01.21г -430,644 тыс.тенге 
Ensoft № 64 от 27.01.21г - 1295,597тыс.тенге 
Ensoft № 66 от 27.01.21г - 545,885 тыс.тенге
ЦАЭК №14 от 29.01.21г -841,991 тыс.тенге.
242,276 тыс.тенге обслуживание ККМ и СДБ</t>
        </r>
      </text>
    </comment>
    <comment ref="H46" authorId="2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14,777 тыс.тенге -ТО  авто,
12,035 тыс.тенге замена тормозной колодки,
23,714 тыс.тенге -шиномантаж</t>
        </r>
      </text>
    </comment>
    <comment ref="G26" authorId="2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40,020 тыс.тенге -затраты января договор с 01.02.21г</t>
        </r>
      </text>
    </comment>
    <comment ref="G27" authorId="2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5,969 тыс.тенге - услуги почты затраты с января по март перенесены за счет рентабельности ,так как договор заключен 20.04.21г на 2021г</t>
        </r>
      </text>
    </comment>
    <comment ref="G36" authorId="2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411,84702 тыс.тенге -бензин,
13,73661 тыс.тенге -  масло трансмиссионное ЛУКОЙЛ,
6,89643 тыс.тенге -материалы (фильтры,шайба)</t>
        </r>
      </text>
    </comment>
    <comment ref="G43" authorId="2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за минусом  январь договор с 02.21г</t>
        </r>
      </text>
    </comment>
    <comment ref="G94" authorId="2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5,969 тыс.тенге - услуги почты затраты с января по март перенесены за счет рентабельности ,так как договор заключен 20.04.21г на 2021г,
28,05528 *0,17 - соц сфера (полотпнца и стаканчики и т.д).
28,564*0,17 -доска почета
40,020 тыс.тенге -затраты января договор с 01.02.21г.инкасация
68,70322*0,17 -бензин января,договор с 01.02.2021г.,</t>
        </r>
      </text>
    </comment>
    <comment ref="G35" authorId="2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20,77038 тыс.тенге страхование транспорта</t>
        </r>
      </text>
    </comment>
  </commentList>
</comments>
</file>

<file path=xl/comments3.xml><?xml version="1.0" encoding="utf-8"?>
<comments xmlns="http://schemas.openxmlformats.org/spreadsheetml/2006/main">
  <authors>
    <author>aE-vedekonstplan</author>
    <author>Шевелева Райса Есимовна</author>
    <author>Филинская Елена Викторовна</author>
    <author>Новицкая Ирина Николаевна</author>
  </authors>
  <commentList>
    <comment ref="B17" authorId="0">
      <text>
        <r>
          <rPr>
            <b/>
            <sz val="8"/>
            <rFont val="Tahoma"/>
            <family val="2"/>
          </rPr>
          <t>aE-vedekonstplan:</t>
        </r>
        <r>
          <rPr>
            <sz val="8"/>
            <rFont val="Tahoma"/>
            <family val="2"/>
          </rPr>
          <t xml:space="preserve">
сотка в ээ в основных затратах 
по теплу за счёт прибыли</t>
        </r>
      </text>
    </comment>
    <comment ref="B45" authorId="0">
      <text>
        <r>
          <rPr>
            <b/>
            <sz val="8"/>
            <rFont val="Tahoma"/>
            <family val="2"/>
          </rPr>
          <t>aE-vedekonstplan:</t>
        </r>
        <r>
          <rPr>
            <sz val="8"/>
            <rFont val="Tahoma"/>
            <family val="2"/>
          </rPr>
          <t xml:space="preserve">
по ээ обслуживание ККМ и услуги библиотеки</t>
        </r>
      </text>
    </comment>
    <comment ref="B57" authorId="0">
      <text>
        <r>
          <rPr>
            <b/>
            <sz val="8"/>
            <rFont val="Tahoma"/>
            <family val="2"/>
          </rPr>
          <t>aE-vedekonstplan:</t>
        </r>
        <r>
          <rPr>
            <sz val="8"/>
            <rFont val="Tahoma"/>
            <family val="2"/>
          </rPr>
          <t xml:space="preserve">
отклонения в стоимости ОС</t>
        </r>
      </text>
    </comment>
    <comment ref="B58" authorId="0">
      <text>
        <r>
          <rPr>
            <b/>
            <sz val="8"/>
            <rFont val="Tahoma"/>
            <family val="2"/>
          </rPr>
          <t>aE-vedekonstplan:</t>
        </r>
        <r>
          <rPr>
            <sz val="8"/>
            <rFont val="Tahoma"/>
            <family val="2"/>
          </rPr>
          <t xml:space="preserve">
только по теплу, по ээ в тарифной части</t>
        </r>
      </text>
    </comment>
    <comment ref="B75" authorId="0">
      <text>
        <r>
          <rPr>
            <b/>
            <sz val="8"/>
            <rFont val="Tahoma"/>
            <family val="2"/>
          </rPr>
          <t>aE-vedekonstplan:</t>
        </r>
        <r>
          <rPr>
            <sz val="8"/>
            <rFont val="Tahoma"/>
            <family val="2"/>
          </rPr>
          <t xml:space="preserve">
только затраты по теплу по ээ в тарифной части</t>
        </r>
      </text>
    </comment>
    <comment ref="H94" authorId="1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4,11852+44,63181 *0,17 - соц сфера (полотенца и стаканчики и т.д).
28,546*0,17 -доска почета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5,969 тыс.тенге - услуги почты затраты с января по март перенесены за счет рентабельности ,так как договор заключен 20.04.21г на 2021г,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31,03804 тыс.тенге -затраты января договор с 01.02.21г.инкаcсация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68,70322*0,17 -бензин января, договор с 01.02.2021г.
2,1875*0,17 - цв бумага без Перечня
58,5*0,17 - батарейки, разъемы без Перечня
10,26786*0,17 - сифон без Перечня</t>
        </r>
      </text>
    </comment>
    <comment ref="H27" authorId="1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2,5530362 тыс.тенге - услуги почты затраты с января  перенесены за счет рентабельности </t>
        </r>
      </text>
    </comment>
    <comment ref="H34" authorId="2">
      <text>
        <r>
          <rPr>
            <b/>
            <sz val="9"/>
            <rFont val="Tahoma"/>
            <family val="2"/>
          </rPr>
          <t>Филинская Елена Викторовна:</t>
        </r>
        <r>
          <rPr>
            <sz val="9"/>
            <rFont val="Tahoma"/>
            <family val="2"/>
          </rPr>
          <t xml:space="preserve">
32,98272 
 тыс.тг - питьевая вода</t>
        </r>
      </text>
    </comment>
    <comment ref="I34" authorId="2">
      <text>
        <r>
          <rPr>
            <b/>
            <sz val="9"/>
            <rFont val="Tahoma"/>
            <family val="2"/>
          </rPr>
          <t>Филинская Елена Викторовна:</t>
        </r>
        <r>
          <rPr>
            <sz val="9"/>
            <rFont val="Tahoma"/>
            <family val="2"/>
          </rPr>
          <t xml:space="preserve">
161,03328  тыс.тг - питьевая вода</t>
        </r>
      </text>
    </comment>
    <comment ref="H47" authorId="2">
      <text>
        <r>
          <rPr>
            <b/>
            <sz val="9"/>
            <rFont val="Tahoma"/>
            <family val="2"/>
          </rPr>
          <t>Филинская Елена Викторовна:</t>
        </r>
        <r>
          <rPr>
            <sz val="9"/>
            <rFont val="Tahoma"/>
            <family val="2"/>
          </rPr>
          <t xml:space="preserve">
574,04119 тыс.тг - бензин
60,7875 тыс.тг - ГСМ (масло)
</t>
        </r>
      </text>
    </comment>
    <comment ref="I47" authorId="2">
      <text>
        <r>
          <rPr>
            <b/>
            <sz val="9"/>
            <rFont val="Tahoma"/>
            <family val="2"/>
          </rPr>
          <t>Филинская Елена Викторовна:</t>
        </r>
        <r>
          <rPr>
            <sz val="9"/>
            <rFont val="Tahoma"/>
            <family val="2"/>
          </rPr>
          <t xml:space="preserve">
574,04119 тыс.тг - бензин
60,7875 тыс.тг - ГСМ (масло)
</t>
        </r>
      </text>
    </comment>
    <comment ref="H84" authorId="2">
      <text>
        <r>
          <rPr>
            <b/>
            <sz val="9"/>
            <rFont val="Tahoma"/>
            <family val="2"/>
          </rPr>
          <t>Филинская Елена Викторовна:</t>
        </r>
        <r>
          <rPr>
            <sz val="9"/>
            <rFont val="Tahoma"/>
            <family val="2"/>
          </rPr>
          <t xml:space="preserve">
январь договор с 02.21г</t>
        </r>
      </text>
    </comment>
    <comment ref="H45" authorId="1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8,99640 тыс.тенге - изготовление вывесок,
144,79121 тыс.тенге -Жаса Жарнама печать  сч/изв.,
84,214 тыс.тенге -гидрометеослужба,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6,68666 тыс.тенге доступ к интернет ресурсу Учет Kz,
26,56554 тыс.тенге -гос услуги,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3,876 тыс.тенге-ремонт холодильника,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61,24458 тыс.тенге-тех.обсл системы видеонаб. и расздвижных ворот (БОЕЦ)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14,34376 тыс.тенге -обслуживание ККМ
7,55893 тыс.тг - промывка и опрессовка (Эталон)
1,97321 тыс.тг - поверка трансформатора (Форвард-Строй)
0,595 тыс.тг - изг-ие клише штампа (Центр штампа)</t>
        </r>
      </text>
    </comment>
    <comment ref="I45" authorId="1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43,92360 тыс.тенге - изготовление вывесок,
706,92179 тыс.тенге -Жаса Жарнама печать  сч/изв.,
1120,5 тыс.тенге -Аудит СМК,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32,64666 тыс.тенге доступ к интернет ресурсу Учет Kz,
129,702 тыс.тенге -гос услуги,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18,924 тыс.тенге - ремонт холодильника,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299,01764 тыс.тенге-тех.обсл системы видеонаб. и расздвижных ворот(БОЕЦ),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Ensoft № 56 от 27.01.21г -66,69643 тыс.тенге 
Ensoft № 63 от 27.01.21г -492,1641 тыс.тенге 
Ensoft № 64 от 27.01.21г - 590,59686 тыс.тенге 
Ensoft № 66 от 27.01.21г -943,3286 тыс.тенге
Ensoft № 65 от 27.01.21г -570,625 тыс.тенге
ЦАЭК №14 от 29.01.21г - 962,27531 тыс.тенге.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2"/>
            <rFont val="Tahoma"/>
            <family val="2"/>
          </rPr>
          <t>201,08928 тыс.тенге обслуживание ККМ и СДБ
36,90536 тыс.тг - промывка и опрессовка (Эталон)
9,63393 тыс.тг - поверка трансформатора (Форвард-Строй)
2,905 тыс.тг - изг-ие клише штампа (Центр штампа)</t>
        </r>
      </text>
    </comment>
    <comment ref="H46" authorId="1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</t>
        </r>
      </text>
    </comment>
    <comment ref="I46" authorId="1">
      <text>
        <r>
          <rPr>
            <b/>
            <sz val="9"/>
            <rFont val="Tahoma"/>
            <family val="2"/>
          </rPr>
          <t>Шевелева Райса Есимовна:</t>
        </r>
        <r>
          <rPr>
            <sz val="9"/>
            <rFont val="Tahoma"/>
            <family val="2"/>
          </rPr>
          <t xml:space="preserve">
19,99410 тыс.тенге -ТО  авто,
12,035 тыс.тенге - замена тормозной колодки,
23,71429 тыс.тенге -шиномонтаж</t>
        </r>
      </text>
    </comment>
    <comment ref="H66" authorId="2">
      <text>
        <r>
          <rPr>
            <b/>
            <sz val="9"/>
            <rFont val="Tahoma"/>
            <family val="2"/>
          </rPr>
          <t>Филинская Елена Викторовна:</t>
        </r>
        <r>
          <rPr>
            <sz val="9"/>
            <rFont val="Tahoma"/>
            <family val="2"/>
          </rPr>
          <t xml:space="preserve">
132,974  тыс.тг - расходы на празд даты (8 марта)
144 тыс.тг - путевки в дет лагерь</t>
        </r>
      </text>
    </comment>
    <comment ref="I66" authorId="2">
      <text>
        <r>
          <rPr>
            <b/>
            <sz val="9"/>
            <rFont val="Tahoma"/>
            <family val="2"/>
          </rPr>
          <t>Филинская Елена Викторовна:</t>
        </r>
        <r>
          <rPr>
            <sz val="9"/>
            <rFont val="Tahoma"/>
            <family val="2"/>
          </rPr>
          <t xml:space="preserve">
82,79001 тыс.тг - расходы на празд даты (8 марта)
63,08 тыс.тг - путевки в дет лагерь</t>
        </r>
      </text>
    </comment>
    <comment ref="H80" authorId="2">
      <text>
        <r>
          <rPr>
            <b/>
            <sz val="9"/>
            <rFont val="Tahoma"/>
            <family val="2"/>
          </rPr>
          <t>Филинская Елена Викторовна:</t>
        </r>
        <r>
          <rPr>
            <sz val="9"/>
            <rFont val="Tahoma"/>
            <family val="2"/>
          </rPr>
          <t xml:space="preserve">
27,38897 тыс.тг - мат помощь пенсионерам</t>
        </r>
      </text>
    </comment>
    <comment ref="I80" authorId="2">
      <text>
        <r>
          <rPr>
            <b/>
            <sz val="9"/>
            <rFont val="Tahoma"/>
            <family val="2"/>
          </rPr>
          <t>Филинская Елена Викторовна:</t>
        </r>
        <r>
          <rPr>
            <sz val="9"/>
            <rFont val="Tahoma"/>
            <family val="2"/>
          </rPr>
          <t xml:space="preserve">
133,72263 тыс.тг - мат помощь пенсионерам</t>
        </r>
      </text>
    </comment>
    <comment ref="H81" authorId="2">
      <text>
        <r>
          <rPr>
            <b/>
            <sz val="9"/>
            <rFont val="Tahoma"/>
            <family val="2"/>
          </rPr>
          <t>Филинская Елена Викторовна:</t>
        </r>
        <r>
          <rPr>
            <sz val="9"/>
            <rFont val="Tahoma"/>
            <family val="2"/>
          </rPr>
          <t xml:space="preserve">
2,55 тыс.тг - сертфикаты Спортмастер
3,57 тыс.тг - сертификаты в Дет мир
</t>
        </r>
      </text>
    </comment>
    <comment ref="I81" authorId="2">
      <text>
        <r>
          <rPr>
            <b/>
            <sz val="9"/>
            <rFont val="Tahoma"/>
            <family val="2"/>
          </rPr>
          <t>Филинская Елена Викторовна:</t>
        </r>
        <r>
          <rPr>
            <sz val="9"/>
            <rFont val="Tahoma"/>
            <family val="2"/>
          </rPr>
          <t xml:space="preserve">
12,45 тыс.тг - сертфикаты Спортмастер
17,43 тыс.тг - сертификаты в Дет мир
</t>
        </r>
      </text>
    </comment>
    <comment ref="I94" authorId="2">
      <text>
        <r>
          <rPr>
            <b/>
            <sz val="9"/>
            <rFont val="Tahoma"/>
            <family val="2"/>
          </rPr>
          <t>Филинская Елена Викторовна:</t>
        </r>
        <r>
          <rPr>
            <sz val="9"/>
            <rFont val="Tahoma"/>
            <family val="2"/>
          </rPr>
          <t xml:space="preserve">
23,49318 +44,63181 * 0,83 тыс.тг - салфетки, полотенца, стаканчики
28,546*0,83 тыс.тг - Доска почета
68,70322*0,83 тыс.тг январь бензин</t>
        </r>
      </text>
    </comment>
    <comment ref="H36" authorId="2">
      <text>
        <r>
          <rPr>
            <b/>
            <sz val="9"/>
            <rFont val="Tahoma"/>
            <family val="2"/>
          </rPr>
          <t>Филинская Елена Викторовна:</t>
        </r>
        <r>
          <rPr>
            <sz val="9"/>
            <rFont val="Tahoma"/>
            <family val="2"/>
          </rPr>
          <t xml:space="preserve">
58,5*0,17 - батарейки, разъемы без Перечня</t>
        </r>
      </text>
    </comment>
    <comment ref="I13" authorId="3">
      <text>
        <r>
          <rPr>
            <b/>
            <sz val="9"/>
            <rFont val="Tahoma"/>
            <family val="2"/>
          </rPr>
          <t>Новицкая Ирина Николаевна:</t>
        </r>
        <r>
          <rPr>
            <sz val="9"/>
            <rFont val="Tahoma"/>
            <family val="2"/>
          </rPr>
          <t xml:space="preserve">
осмс</t>
        </r>
      </text>
    </comment>
    <comment ref="I16" authorId="3">
      <text>
        <r>
          <rPr>
            <b/>
            <sz val="9"/>
            <rFont val="Tahoma"/>
            <family val="2"/>
          </rPr>
          <t>Новицкая Ирина Николаевна:</t>
        </r>
        <r>
          <rPr>
            <sz val="9"/>
            <rFont val="Tahoma"/>
            <family val="2"/>
          </rPr>
          <t xml:space="preserve">
энергия на хн</t>
        </r>
      </text>
    </comment>
    <comment ref="H61" authorId="3">
      <text>
        <r>
          <rPr>
            <b/>
            <sz val="9"/>
            <rFont val="Tahoma"/>
            <family val="2"/>
          </rPr>
          <t>Новицкая Ирина Николаевна:</t>
        </r>
        <r>
          <rPr>
            <sz val="9"/>
            <rFont val="Tahoma"/>
            <family val="2"/>
          </rPr>
          <t xml:space="preserve">
54,40000  доставка счетов
2,5530362 почта тел</t>
        </r>
      </text>
    </comment>
  </commentList>
</comments>
</file>

<file path=xl/sharedStrings.xml><?xml version="1.0" encoding="utf-8"?>
<sst xmlns="http://schemas.openxmlformats.org/spreadsheetml/2006/main" count="839" uniqueCount="231">
  <si>
    <t>Отчёт по исполнению тарифной сметы на услугу по снабжению тепловой энергией</t>
  </si>
  <si>
    <t>по ТОО "Северо-Казахстанский Энергоцентр"</t>
  </si>
  <si>
    <t>№</t>
  </si>
  <si>
    <t>Наименование статей затрат</t>
  </si>
  <si>
    <t>Ед.изм</t>
  </si>
  <si>
    <t>в т.ч. снабжение тепловой энергией</t>
  </si>
  <si>
    <t>в т.ч. снабжение электрической энергией</t>
  </si>
  <si>
    <t>Отклонение</t>
  </si>
  <si>
    <t xml:space="preserve"> +,-</t>
  </si>
  <si>
    <t>%</t>
  </si>
  <si>
    <t>Затраты по снабжению тепловой энергией, всего</t>
  </si>
  <si>
    <t>тыс.тг.</t>
  </si>
  <si>
    <t>Общие и административные расходы, всего</t>
  </si>
  <si>
    <t>в том числе:</t>
  </si>
  <si>
    <t>Заработная плата административного персонала</t>
  </si>
  <si>
    <t>социальный налог, обязательное страхование</t>
  </si>
  <si>
    <t>Амортизация</t>
  </si>
  <si>
    <t>налоговые платежи и сборы</t>
  </si>
  <si>
    <t>коммунальные услуги</t>
  </si>
  <si>
    <t>услуги связи</t>
  </si>
  <si>
    <t>в т.ч. сотовая связь</t>
  </si>
  <si>
    <t>услуги банка</t>
  </si>
  <si>
    <t>услуги по доставке счетов-извещений</t>
  </si>
  <si>
    <t>другие раходы</t>
  </si>
  <si>
    <t>услуги автотранспортного предприятия</t>
  </si>
  <si>
    <t>юридические и нотариальные услуги</t>
  </si>
  <si>
    <t>услуги по сбору комунальных платежей</t>
  </si>
  <si>
    <t>услуги инкасации</t>
  </si>
  <si>
    <t>услуги почтовой связи</t>
  </si>
  <si>
    <t>услуги дезостанции</t>
  </si>
  <si>
    <t>услуги по вывозу мусора</t>
  </si>
  <si>
    <t>комплектующие к оргтехнике</t>
  </si>
  <si>
    <t>канцелярские расходы</t>
  </si>
  <si>
    <t>содержание зданий</t>
  </si>
  <si>
    <t>подготовка кадров</t>
  </si>
  <si>
    <t>расходы по охране труда</t>
  </si>
  <si>
    <t>страхование ГПО</t>
  </si>
  <si>
    <t>вспомогательные материалы</t>
  </si>
  <si>
    <t>услуги охранных предприятий</t>
  </si>
  <si>
    <t>услуги финансовой и технической экспертизы</t>
  </si>
  <si>
    <t>аудиторские услуги</t>
  </si>
  <si>
    <t>аренда помещений</t>
  </si>
  <si>
    <t>Командировочные расходы</t>
  </si>
  <si>
    <t>Периодическая печать (подписка)</t>
  </si>
  <si>
    <t>тех.литература и документация</t>
  </si>
  <si>
    <t>услуги СМИ</t>
  </si>
  <si>
    <t>услуги сторонних организаций</t>
  </si>
  <si>
    <t>Всего затрат</t>
  </si>
  <si>
    <t>Рентабельность, в т.ч</t>
  </si>
  <si>
    <t>госпошлина</t>
  </si>
  <si>
    <t>прочие расходы (отклонения в стоимости материалов и основных средств)</t>
  </si>
  <si>
    <t>услуги по обслуживанию ККМ, СДБ</t>
  </si>
  <si>
    <t>услуги по изготовлению документов</t>
  </si>
  <si>
    <t>поверка и техобслуживание счётчиков</t>
  </si>
  <si>
    <t>полиграфические услуги</t>
  </si>
  <si>
    <t>представительские расходы</t>
  </si>
  <si>
    <t>отражение хозяйственных операций прошлых лет</t>
  </si>
  <si>
    <t>расходы по оплате труда, в т.ч</t>
  </si>
  <si>
    <t>материальная помощь работникам</t>
  </si>
  <si>
    <t>премии</t>
  </si>
  <si>
    <t>сотовая связь</t>
  </si>
  <si>
    <t>проценты за кредит</t>
  </si>
  <si>
    <t xml:space="preserve">Пени, штрафы </t>
  </si>
  <si>
    <t>Доначисление налогов прошлых лет по актам налоговой поверки</t>
  </si>
  <si>
    <t>Расходы на подарки</t>
  </si>
  <si>
    <t>Перерасчёт по т/э с учётом фактич. температуры наружного воздуха</t>
  </si>
  <si>
    <t>ритуальные услуги</t>
  </si>
  <si>
    <t>вода и канализация</t>
  </si>
  <si>
    <t>благоустройство территории, озеленение</t>
  </si>
  <si>
    <t>спонсорскя помощь</t>
  </si>
  <si>
    <t>приобретение ОС</t>
  </si>
  <si>
    <t>копоративный подоходный налог</t>
  </si>
  <si>
    <t>Сумма затрат превышающая 5% от утверждённого лимита по тарифной смете</t>
  </si>
  <si>
    <t>Всего затрат на снабжение с рентабельностью</t>
  </si>
  <si>
    <t>Объём оказываемых услуг</t>
  </si>
  <si>
    <t>тыс.кВтч/Гкал</t>
  </si>
  <si>
    <t>Фактический тариф без (НДС) на снабжение</t>
  </si>
  <si>
    <t>Затраты на покупку и транспртировку энергии</t>
  </si>
  <si>
    <t>покупка теплоэнергии</t>
  </si>
  <si>
    <t>-</t>
  </si>
  <si>
    <t>покупка электроэнергии</t>
  </si>
  <si>
    <t>покупка</t>
  </si>
  <si>
    <t>транспортировка теплоэнергии</t>
  </si>
  <si>
    <t>транзит</t>
  </si>
  <si>
    <t>транспортировка электроэнергии</t>
  </si>
  <si>
    <t>кегок</t>
  </si>
  <si>
    <t>услуги КЕГОК</t>
  </si>
  <si>
    <t>балансир</t>
  </si>
  <si>
    <t>затраты на балансировку электроэнергии</t>
  </si>
  <si>
    <t>снабж</t>
  </si>
  <si>
    <t>ВСЕГО ЗАТРАТ с покупкой и транспортировкой энергии</t>
  </si>
  <si>
    <t>Фактический среднеотпускной тариф без (НДС)</t>
  </si>
  <si>
    <t>отклонения</t>
  </si>
  <si>
    <t>транзит по 110ке</t>
  </si>
  <si>
    <t>транзит по сетям ЮУЖД</t>
  </si>
  <si>
    <t>Главный бухгалтер</t>
  </si>
  <si>
    <t>Начальник ПЭО</t>
  </si>
  <si>
    <t>доходы</t>
  </si>
  <si>
    <t>фин.рез. от осн</t>
  </si>
  <si>
    <t>неосновная фин.рез</t>
  </si>
  <si>
    <t>фин.результат</t>
  </si>
  <si>
    <t>фин.результат по форме 2 бух.учёта</t>
  </si>
  <si>
    <t>разница</t>
  </si>
  <si>
    <t>лицензии в сумме 957 тыс.тг. и резервы - 2086 тыс.тг., начисление дисконта в доходах в сумме 2 793 тыс.тг., реконструкция - 25 110 тыс.тг.</t>
  </si>
  <si>
    <t>тел 34-56</t>
  </si>
  <si>
    <t>№ п/п</t>
  </si>
  <si>
    <t>Откл +,-</t>
  </si>
  <si>
    <t>тыс.тенге</t>
  </si>
  <si>
    <t>командировочные</t>
  </si>
  <si>
    <t>услуги инкассации</t>
  </si>
  <si>
    <t>услуги охраны</t>
  </si>
  <si>
    <t>Прибыль</t>
  </si>
  <si>
    <t>Всего доходов</t>
  </si>
  <si>
    <t>тыс.Гкал</t>
  </si>
  <si>
    <t>Тариф без (НДС)</t>
  </si>
  <si>
    <t>тенге/Гкал</t>
  </si>
  <si>
    <t>Тариф на передачу и распределение тепловой энергии</t>
  </si>
  <si>
    <t>Культурно-массовые мероприятия (спортивно-оздоровительные, праздничные мероприятия)</t>
  </si>
  <si>
    <t>по поему отчёту</t>
  </si>
  <si>
    <t>реконструкция</t>
  </si>
  <si>
    <t>услуги спецавтотранспорта</t>
  </si>
  <si>
    <t>периодическая печать (подписка)</t>
  </si>
  <si>
    <t>М.К. Сагандыков</t>
  </si>
  <si>
    <t>Чествование ветеранов и пенсионеров</t>
  </si>
  <si>
    <t>услуги СМИ, рекламные услуги</t>
  </si>
  <si>
    <t>питьевая вода</t>
  </si>
  <si>
    <t>Командировочные расходы, (командировочные сверх нормы)</t>
  </si>
  <si>
    <t>Предусмотрено в тарифной смете по снабжению электрической энергией за 7 мес 2011г</t>
  </si>
  <si>
    <t>Предусмотрено в тарифной смете по снабжению электрической энергией за 8 мес 2011г</t>
  </si>
  <si>
    <t>по ТОО "Севказэнергосбыт"</t>
  </si>
  <si>
    <t>коммунальные по квартире директора</t>
  </si>
  <si>
    <t>Отчёт по исполнению тарифной сметы  ТОО "Севказэнергосбыт" на услугу по снабжению тепловой энергией</t>
  </si>
  <si>
    <t>Резерв на сомнительную дебиторскую задолженность</t>
  </si>
  <si>
    <t>создание резервов</t>
  </si>
  <si>
    <t>М.К.Сагандыков</t>
  </si>
  <si>
    <t>И.о. генерального директора</t>
  </si>
  <si>
    <t>по бюджетке</t>
  </si>
  <si>
    <t>Итого без реконструкции</t>
  </si>
  <si>
    <t>разница на КПН</t>
  </si>
  <si>
    <t>Наименование показателей тарифной сметы</t>
  </si>
  <si>
    <t>Отклонение, в %</t>
  </si>
  <si>
    <t>Предусмотрено в тарифной смете по снабжению электрической энергией за 6 мес 2015г</t>
  </si>
  <si>
    <t>другие расходы</t>
  </si>
  <si>
    <t>Вода и канализация</t>
  </si>
  <si>
    <t>пожарная охрана и сигнализация</t>
  </si>
  <si>
    <t>Приложение 1</t>
  </si>
  <si>
    <t xml:space="preserve">вода и канализация </t>
  </si>
  <si>
    <t>Форма, предназначенная  для сбора административных данных</t>
  </si>
  <si>
    <t>Тариф на снабжение тепловой энергией, без учёта НДС *</t>
  </si>
  <si>
    <t>расходы на оплату питания  участников  соревнований,</t>
  </si>
  <si>
    <t>Р.Е.Шевелева</t>
  </si>
  <si>
    <t>исп. Шевелева Р.Е.</t>
  </si>
  <si>
    <t xml:space="preserve">НДС  не принятый  к зачету </t>
  </si>
  <si>
    <t>КОРЭМ</t>
  </si>
  <si>
    <t>Отчисления ОСМС</t>
  </si>
  <si>
    <t>Ю.В.Ляук</t>
  </si>
  <si>
    <t xml:space="preserve">И.о генерального директора </t>
  </si>
  <si>
    <t>компенсация отпуска,социальный  отпуск, учебный</t>
  </si>
  <si>
    <t>Прочие  расходы (услуги и списание ТМЦ- соцсфера)</t>
  </si>
  <si>
    <t>коммунальные по квартире директора,компенсация  аренды жилья</t>
  </si>
  <si>
    <t>отчисления  на обязательное социальное медицинское страхование</t>
  </si>
  <si>
    <t>10.1</t>
  </si>
  <si>
    <t>10.2</t>
  </si>
  <si>
    <t>10.3</t>
  </si>
  <si>
    <t>10.4</t>
  </si>
  <si>
    <t>10.5</t>
  </si>
  <si>
    <t>10.6</t>
  </si>
  <si>
    <t>10.7</t>
  </si>
  <si>
    <t>10.9</t>
  </si>
  <si>
    <t>10.8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</si>
  <si>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</si>
  <si>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</si>
  <si>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</si>
  <si>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</si>
  <si>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</si>
  <si>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</si>
  <si>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</si>
  <si>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</si>
  <si>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</si>
  <si>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</si>
  <si>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</si>
  <si>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</si>
  <si>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</si>
  <si>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</si>
  <si>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 xml:space="preserve">Отчет об исполнении тарифной  сметы  на регулируемые услуги </t>
  </si>
  <si>
    <t>социальный налог, социальные отчисления</t>
  </si>
  <si>
    <t>Регулируемая база  задействованных активов (РБА)</t>
  </si>
  <si>
    <t>11</t>
  </si>
  <si>
    <t>13</t>
  </si>
  <si>
    <t>15</t>
  </si>
  <si>
    <t>17</t>
  </si>
  <si>
    <t>19</t>
  </si>
  <si>
    <t>Тариф на производство тепловой энергии</t>
  </si>
  <si>
    <t>к Правилам формирования тарифов</t>
  </si>
  <si>
    <t>форма 5</t>
  </si>
  <si>
    <t xml:space="preserve">Генеральный  директор </t>
  </si>
  <si>
    <t>Расходы на содержание автотранспорта</t>
  </si>
  <si>
    <t>ГСМ</t>
  </si>
  <si>
    <t>Запасные части</t>
  </si>
  <si>
    <t>Страхование автотранспорта</t>
  </si>
  <si>
    <t>Обслуживание пожарной сигнализации исистемы голосового(речевого)оповещения о пожаре</t>
  </si>
  <si>
    <t>за 6 месяцев 2021г</t>
  </si>
  <si>
    <t>Предусмотрено в тарифной смете по снабжению тепловой энергией за 6 мес 2021г</t>
  </si>
  <si>
    <t>всего факт             за 6 месяцев 2021г</t>
  </si>
  <si>
    <t>за 7 месяцев 2021г</t>
  </si>
  <si>
    <t>Предусмотрено в тарифной смете по снабжению тепловой энергией за 7 мес 2021г</t>
  </si>
  <si>
    <t>всего факт             за 7 месяцев 2021г</t>
  </si>
  <si>
    <t>10.24</t>
  </si>
  <si>
    <t>10.25</t>
  </si>
  <si>
    <t>10.26</t>
  </si>
  <si>
    <t>10.27</t>
  </si>
  <si>
    <t>Чествование ветеранов и пенсионеров(материальная помощь)</t>
  </si>
  <si>
    <t>услуги инкаcсации</t>
  </si>
  <si>
    <t>план  июнь</t>
  </si>
  <si>
    <t>ТЭ</t>
  </si>
  <si>
    <t>ЭЭ</t>
  </si>
  <si>
    <t>Причины отклонения**</t>
  </si>
  <si>
    <t>** Тарифная смета утверждена на год. Освоение до конца года запланировано в полном объеме.</t>
  </si>
  <si>
    <t xml:space="preserve">В связи с увеличением количества банковских операций. При корректировке тарифной сметы затраты  будут  откорректированы.  </t>
  </si>
  <si>
    <t xml:space="preserve">Согласно производственной необходимости (опубликование отчета по ИП, отчета  по тарифной смете за год). При корректировке тарифной сметы затраты  будут  откорректированы.  </t>
  </si>
  <si>
    <t>За счет увеличения тарифов для юр лиц</t>
  </si>
  <si>
    <t>За 1 полугодие 2022г. на объём услуг по снабжению тепловой энергией повлиял температурный фактор.</t>
  </si>
  <si>
    <t>доля для слайда</t>
  </si>
  <si>
    <t>Предусмотрено в тарифной смете по снабжению тепловой энергией за 8 мес 2022г</t>
  </si>
  <si>
    <t>всего факт             за 8 месяцев 2022г</t>
  </si>
  <si>
    <t>за 8 месяцев 2022г</t>
  </si>
  <si>
    <t>Отчетный период:  за  1 полугодие 2023г
Индекс: ИТС-1
Периодичность: полугодовая
Представляют: субъекты естественной монополии, за исключением региональной электросетевой компании
Куда представляется форма:  в ведомство государственного органа, осуществляющее руководство в соответствующих сферах естественных монополий или в его территориальное подразделение
Срок представления -ежегодно  не позднее 1 августа года ,следующего за отчетным периодом.</t>
  </si>
  <si>
    <t xml:space="preserve">Предусмотрено в утвержденной тарифной смете на 2023 год </t>
  </si>
  <si>
    <t>Ожидаемые показатели тарифной сметы за 1 полугодие  2023г</t>
  </si>
  <si>
    <t>за счет увеличения тарифов на печать ЕПД</t>
  </si>
  <si>
    <t>* Фактически сложившиеся  показатели в тарифной смете за 1 полугодие  2023г являются предварительными, так как на момент  предоставления  отчета  ТОО "Севказэнергосбыт» бухгалтерский период не закрыт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</si>
</sst>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0"/>
    <numFmt numFmtId="183" formatCode="0.000"/>
    <numFmt numFmtId="184" formatCode="#,##0.0"/>
    <numFmt numFmtId="185" formatCode="General_)"/>
    <numFmt numFmtId="186" formatCode="\60\4\7\:"/>
    <numFmt numFmtId="187" formatCode="_(* #,##0.0_);_(* \(#,##0.00\);_(* &quot;-&quot;??_);_(@_)"/>
    <numFmt numFmtId="188" formatCode="#,##0.0_);\(#,##0.0\)"/>
    <numFmt numFmtId="189" formatCode="#,##0.000_);\(#,##0.000\)"/>
    <numFmt numFmtId="190" formatCode="&quot;$&quot;#,\);\(&quot;$&quot;#,##0\)"/>
    <numFmt numFmtId="191" formatCode="&quot;$&quot;#,\);\(&quot;$&quot;#,\)"/>
    <numFmt numFmtId="192" formatCode="&quot;$&quot;#,;\(&quot;$&quot;#,\)"/>
    <numFmt numFmtId="193" formatCode="0&quot;  &quot;"/>
    <numFmt numFmtId="194" formatCode="#,##0.00000"/>
    <numFmt numFmtId="195" formatCode="0.0"/>
    <numFmt numFmtId="196" formatCode="#,##0.0_ ;[Red]\-#,##0.0\ "/>
    <numFmt numFmtId="197" formatCode="#,##0_ ;[Red]\-#,##0\ "/>
    <numFmt numFmtId="198" formatCode="#,##0.00_ ;[Red]\-#,##0.00\ "/>
    <numFmt numFmtId="199" formatCode="#,##0.000_ ;[Red]\-#,##0.000\ "/>
    <numFmt numFmtId="200" formatCode="#,##0.0000_ ;[Red]\-#,##0.0000\ "/>
    <numFmt numFmtId="201" formatCode="#,##0.00000_ ;[Red]\-#,##0.00000\ "/>
    <numFmt numFmtId="202" formatCode="#,##0.000000_ ;[Red]\-#,##0.000000\ "/>
    <numFmt numFmtId="203" formatCode="0.0000"/>
    <numFmt numFmtId="204" formatCode="#,##0.0000"/>
    <numFmt numFmtId="205" formatCode="0.00000"/>
    <numFmt numFmtId="206" formatCode="0.0000000"/>
    <numFmt numFmtId="207" formatCode="#,##0;[Red]#,##0"/>
    <numFmt numFmtId="208" formatCode="#,##0.0000000_ ;[Red]\-#,##0.0000000\ "/>
    <numFmt numFmtId="209" formatCode="_-* #,##0.00[$р.-419]_-;\-* #,##0.00[$р.-419]_-;_-* &quot;-&quot;??[$р.-419]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000000_ ;[Red]\-#,##0.00000000\ "/>
    <numFmt numFmtId="215" formatCode="0.000000"/>
    <numFmt numFmtId="216" formatCode="#,##0.000000000_ ;[Red]\-#,##0.000000000\ 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sz val="10"/>
      <name val="Courier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3"/>
      <name val="Arial"/>
      <family val="2"/>
    </font>
    <font>
      <sz val="11"/>
      <name val="Arial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name val="Arial Cyr"/>
      <family val="2"/>
    </font>
    <font>
      <sz val="12"/>
      <name val="Arial Cyr"/>
      <family val="2"/>
    </font>
    <font>
      <b/>
      <sz val="8"/>
      <name val="Tahoma"/>
      <family val="2"/>
    </font>
    <font>
      <sz val="8"/>
      <name val="Tahoma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5"/>
      <name val="Times New Roman"/>
      <family val="1"/>
    </font>
    <font>
      <sz val="9"/>
      <color indexed="12"/>
      <name val="Tahoma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2"/>
      <color rgb="FF0000FF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9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7" fontId="3" fillId="0" borderId="0" applyFill="0" applyBorder="0" applyAlignment="0">
      <protection/>
    </xf>
    <xf numFmtId="185" fontId="3" fillId="0" borderId="0" applyFill="0" applyBorder="0" applyAlignment="0">
      <protection/>
    </xf>
    <xf numFmtId="183" fontId="3" fillId="0" borderId="0" applyFill="0" applyBorder="0" applyAlignment="0">
      <protection/>
    </xf>
    <xf numFmtId="188" fontId="4" fillId="0" borderId="0" applyFill="0" applyBorder="0" applyAlignment="0">
      <protection/>
    </xf>
    <xf numFmtId="189" fontId="4" fillId="0" borderId="0" applyFill="0" applyBorder="0" applyAlignment="0">
      <protection/>
    </xf>
    <xf numFmtId="187" fontId="3" fillId="0" borderId="0" applyFill="0" applyBorder="0" applyAlignment="0">
      <protection/>
    </xf>
    <xf numFmtId="190" fontId="4" fillId="0" borderId="0" applyFill="0" applyBorder="0" applyAlignment="0">
      <protection/>
    </xf>
    <xf numFmtId="185" fontId="3" fillId="0" borderId="0" applyFill="0" applyBorder="0" applyAlignment="0">
      <protection/>
    </xf>
    <xf numFmtId="0" fontId="5" fillId="0" borderId="0" applyFont="0" applyFill="0" applyBorder="0" applyAlignment="0" applyProtection="0"/>
    <xf numFmtId="187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190" fontId="4" fillId="0" borderId="0" applyFont="0" applyFill="0" applyBorder="0" applyAlignment="0" applyProtection="0"/>
    <xf numFmtId="14" fontId="6" fillId="0" borderId="0" applyFill="0" applyBorder="0" applyAlignment="0">
      <protection/>
    </xf>
    <xf numFmtId="38" fontId="7" fillId="0" borderId="1">
      <alignment vertical="center"/>
      <protection/>
    </xf>
    <xf numFmtId="187" fontId="3" fillId="0" borderId="0" applyFill="0" applyBorder="0" applyAlignment="0">
      <protection/>
    </xf>
    <xf numFmtId="185" fontId="3" fillId="0" borderId="0" applyFill="0" applyBorder="0" applyAlignment="0">
      <protection/>
    </xf>
    <xf numFmtId="187" fontId="3" fillId="0" borderId="0" applyFill="0" applyBorder="0" applyAlignment="0">
      <protection/>
    </xf>
    <xf numFmtId="190" fontId="4" fillId="0" borderId="0" applyFill="0" applyBorder="0" applyAlignment="0">
      <protection/>
    </xf>
    <xf numFmtId="185" fontId="3" fillId="0" borderId="0" applyFill="0" applyBorder="0" applyAlignment="0">
      <protection/>
    </xf>
    <xf numFmtId="38" fontId="8" fillId="16" borderId="0" applyNumberFormat="0" applyBorder="0" applyAlignment="0" applyProtection="0"/>
    <xf numFmtId="0" fontId="9" fillId="0" borderId="2" applyNumberFormat="0" applyAlignment="0" applyProtection="0"/>
    <xf numFmtId="0" fontId="9" fillId="0" borderId="3">
      <alignment horizontal="left" vertical="center"/>
      <protection/>
    </xf>
    <xf numFmtId="0" fontId="10" fillId="0" borderId="0" applyNumberFormat="0" applyFill="0" applyBorder="0" applyAlignment="0" applyProtection="0"/>
    <xf numFmtId="10" fontId="8" fillId="17" borderId="4" applyNumberFormat="0" applyBorder="0" applyAlignment="0" applyProtection="0"/>
    <xf numFmtId="187" fontId="3" fillId="0" borderId="0" applyFill="0" applyBorder="0" applyAlignment="0">
      <protection/>
    </xf>
    <xf numFmtId="185" fontId="3" fillId="0" borderId="0" applyFill="0" applyBorder="0" applyAlignment="0">
      <protection/>
    </xf>
    <xf numFmtId="187" fontId="3" fillId="0" borderId="0" applyFill="0" applyBorder="0" applyAlignment="0">
      <protection/>
    </xf>
    <xf numFmtId="190" fontId="4" fillId="0" borderId="0" applyFill="0" applyBorder="0" applyAlignment="0">
      <protection/>
    </xf>
    <xf numFmtId="185" fontId="3" fillId="0" borderId="0" applyFill="0" applyBorder="0" applyAlignment="0">
      <protection/>
    </xf>
    <xf numFmtId="193" fontId="0" fillId="0" borderId="0">
      <alignment/>
      <protection/>
    </xf>
    <xf numFmtId="193" fontId="0" fillId="0" borderId="0">
      <alignment/>
      <protection/>
    </xf>
    <xf numFmtId="0" fontId="5" fillId="0" borderId="0">
      <alignment/>
      <protection/>
    </xf>
    <xf numFmtId="0" fontId="11" fillId="18" borderId="0">
      <alignment/>
      <protection/>
    </xf>
    <xf numFmtId="189" fontId="4" fillId="0" borderId="0" applyFont="0" applyFill="0" applyBorder="0" applyAlignment="0" applyProtection="0"/>
    <xf numFmtId="186" fontId="3" fillId="0" borderId="0" applyFont="0" applyFill="0" applyBorder="0" applyAlignment="0" applyProtection="0"/>
    <xf numFmtId="10" fontId="5" fillId="0" borderId="0" applyFont="0" applyFill="0" applyBorder="0" applyAlignment="0" applyProtection="0"/>
    <xf numFmtId="191" fontId="4" fillId="0" borderId="0" applyFont="0" applyFill="0" applyBorder="0" applyAlignment="0" applyProtection="0"/>
    <xf numFmtId="187" fontId="3" fillId="0" borderId="0" applyFill="0" applyBorder="0" applyAlignment="0">
      <protection/>
    </xf>
    <xf numFmtId="185" fontId="3" fillId="0" borderId="0" applyFill="0" applyBorder="0" applyAlignment="0">
      <protection/>
    </xf>
    <xf numFmtId="187" fontId="3" fillId="0" borderId="0" applyFill="0" applyBorder="0" applyAlignment="0">
      <protection/>
    </xf>
    <xf numFmtId="190" fontId="4" fillId="0" borderId="0" applyFill="0" applyBorder="0" applyAlignment="0">
      <protection/>
    </xf>
    <xf numFmtId="185" fontId="3" fillId="0" borderId="0" applyFill="0" applyBorder="0" applyAlignment="0">
      <protection/>
    </xf>
    <xf numFmtId="49" fontId="6" fillId="0" borderId="0" applyFill="0" applyBorder="0" applyAlignment="0">
      <protection/>
    </xf>
    <xf numFmtId="191" fontId="4" fillId="0" borderId="0" applyFill="0" applyBorder="0" applyAlignment="0">
      <protection/>
    </xf>
    <xf numFmtId="192" fontId="4" fillId="0" borderId="0" applyFill="0" applyBorder="0" applyAlignment="0"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2" fillId="7" borderId="5" applyNumberFormat="0" applyAlignment="0" applyProtection="0"/>
    <xf numFmtId="0" fontId="13" fillId="16" borderId="6" applyNumberForma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23" borderId="11" applyNumberFormat="0" applyAlignment="0" applyProtection="0"/>
    <xf numFmtId="0" fontId="2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7" borderId="12" applyNumberFormat="0" applyFont="0" applyAlignment="0" applyProtection="0"/>
    <xf numFmtId="0" fontId="0" fillId="17" borderId="12" applyNumberFormat="0" applyFont="0" applyAlignment="0" applyProtection="0"/>
    <xf numFmtId="9" fontId="0" fillId="0" borderId="0" applyFont="0" applyFill="0" applyBorder="0" applyAlignment="0" applyProtection="0"/>
    <xf numFmtId="0" fontId="26" fillId="0" borderId="13" applyNumberFormat="0" applyFill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37">
    <xf numFmtId="0" fontId="0" fillId="0" borderId="0" xfId="0" applyAlignment="1">
      <alignment/>
    </xf>
    <xf numFmtId="0" fontId="0" fillId="0" borderId="0" xfId="101" applyFont="1" applyFill="1">
      <alignment/>
      <protection/>
    </xf>
    <xf numFmtId="0" fontId="32" fillId="0" borderId="0" xfId="101" applyFont="1" applyFill="1" applyBorder="1" applyAlignment="1">
      <alignment horizontal="center"/>
      <protection/>
    </xf>
    <xf numFmtId="0" fontId="33" fillId="0" borderId="0" xfId="101" applyFont="1" applyFill="1" applyBorder="1" applyAlignment="1">
      <alignment horizontal="right"/>
      <protection/>
    </xf>
    <xf numFmtId="0" fontId="34" fillId="0" borderId="0" xfId="101" applyFont="1" applyFill="1" applyAlignment="1">
      <alignment horizontal="center" vertical="center"/>
      <protection/>
    </xf>
    <xf numFmtId="0" fontId="35" fillId="0" borderId="14" xfId="101" applyFont="1" applyFill="1" applyBorder="1" applyAlignment="1">
      <alignment horizontal="center" vertical="center"/>
      <protection/>
    </xf>
    <xf numFmtId="0" fontId="36" fillId="0" borderId="15" xfId="101" applyFont="1" applyFill="1" applyBorder="1" applyAlignment="1">
      <alignment horizontal="left" vertical="center"/>
      <protection/>
    </xf>
    <xf numFmtId="0" fontId="36" fillId="0" borderId="4" xfId="101" applyFont="1" applyFill="1" applyBorder="1" applyAlignment="1">
      <alignment horizontal="center" vertical="center"/>
      <protection/>
    </xf>
    <xf numFmtId="197" fontId="36" fillId="0" borderId="15" xfId="101" applyNumberFormat="1" applyFont="1" applyFill="1" applyBorder="1" applyAlignment="1">
      <alignment horizontal="center" vertical="center"/>
      <protection/>
    </xf>
    <xf numFmtId="196" fontId="36" fillId="0" borderId="16" xfId="101" applyNumberFormat="1" applyFont="1" applyFill="1" applyBorder="1" applyAlignment="1">
      <alignment horizontal="center" vertical="center"/>
      <protection/>
    </xf>
    <xf numFmtId="0" fontId="35" fillId="0" borderId="17" xfId="101" applyFont="1" applyFill="1" applyBorder="1" applyAlignment="1">
      <alignment horizontal="center" vertical="center"/>
      <protection/>
    </xf>
    <xf numFmtId="0" fontId="36" fillId="0" borderId="4" xfId="101" applyFont="1" applyFill="1" applyBorder="1" applyAlignment="1">
      <alignment horizontal="left" vertical="center"/>
      <protection/>
    </xf>
    <xf numFmtId="197" fontId="36" fillId="0" borderId="4" xfId="101" applyNumberFormat="1" applyFont="1" applyFill="1" applyBorder="1" applyAlignment="1">
      <alignment horizontal="center" vertical="center"/>
      <protection/>
    </xf>
    <xf numFmtId="0" fontId="37" fillId="0" borderId="4" xfId="101" applyFont="1" applyFill="1" applyBorder="1" applyAlignment="1">
      <alignment horizontal="left" vertical="center"/>
      <protection/>
    </xf>
    <xf numFmtId="0" fontId="35" fillId="0" borderId="4" xfId="101" applyFont="1" applyFill="1" applyBorder="1" applyAlignment="1">
      <alignment horizontal="center" vertical="center"/>
      <protection/>
    </xf>
    <xf numFmtId="197" fontId="36" fillId="0" borderId="17" xfId="101" applyNumberFormat="1" applyFont="1" applyFill="1" applyBorder="1" applyAlignment="1">
      <alignment horizontal="center" vertical="center"/>
      <protection/>
    </xf>
    <xf numFmtId="0" fontId="36" fillId="0" borderId="4" xfId="101" applyFont="1" applyFill="1" applyBorder="1" applyAlignment="1">
      <alignment vertical="center"/>
      <protection/>
    </xf>
    <xf numFmtId="3" fontId="38" fillId="0" borderId="4" xfId="101" applyNumberFormat="1" applyFont="1" applyFill="1" applyBorder="1" applyAlignment="1">
      <alignment horizontal="center" vertical="center" wrapText="1"/>
      <protection/>
    </xf>
    <xf numFmtId="3" fontId="39" fillId="0" borderId="0" xfId="101" applyNumberFormat="1" applyFont="1" applyFill="1" applyAlignment="1">
      <alignment vertical="center"/>
      <protection/>
    </xf>
    <xf numFmtId="0" fontId="39" fillId="0" borderId="0" xfId="101" applyFont="1" applyFill="1" applyAlignment="1">
      <alignment vertical="center"/>
      <protection/>
    </xf>
    <xf numFmtId="197" fontId="11" fillId="0" borderId="17" xfId="101" applyNumberFormat="1" applyFont="1" applyFill="1" applyBorder="1" applyAlignment="1">
      <alignment horizontal="center" vertical="center"/>
      <protection/>
    </xf>
    <xf numFmtId="197" fontId="11" fillId="0" borderId="4" xfId="101" applyNumberFormat="1" applyFont="1" applyFill="1" applyBorder="1" applyAlignment="1">
      <alignment vertical="center"/>
      <protection/>
    </xf>
    <xf numFmtId="0" fontId="11" fillId="0" borderId="4" xfId="101" applyFont="1" applyFill="1" applyBorder="1" applyAlignment="1">
      <alignment horizontal="center" vertical="center"/>
      <protection/>
    </xf>
    <xf numFmtId="3" fontId="40" fillId="0" borderId="4" xfId="101" applyNumberFormat="1" applyFont="1" applyFill="1" applyBorder="1" applyAlignment="1">
      <alignment horizontal="center" vertical="center" wrapText="1"/>
      <protection/>
    </xf>
    <xf numFmtId="197" fontId="39" fillId="0" borderId="0" xfId="101" applyNumberFormat="1" applyFont="1" applyFill="1" applyAlignment="1">
      <alignment vertical="center"/>
      <protection/>
    </xf>
    <xf numFmtId="197" fontId="40" fillId="0" borderId="4" xfId="101" applyNumberFormat="1" applyFont="1" applyFill="1" applyBorder="1" applyAlignment="1">
      <alignment vertical="center"/>
      <protection/>
    </xf>
    <xf numFmtId="197" fontId="40" fillId="0" borderId="4" xfId="101" applyNumberFormat="1" applyFont="1" applyFill="1" applyBorder="1" applyAlignment="1">
      <alignment horizontal="center" vertical="center"/>
      <protection/>
    </xf>
    <xf numFmtId="197" fontId="40" fillId="0" borderId="4" xfId="101" applyNumberFormat="1" applyFont="1" applyFill="1" applyBorder="1" applyAlignment="1">
      <alignment horizontal="center" vertical="center" wrapText="1"/>
      <protection/>
    </xf>
    <xf numFmtId="197" fontId="42" fillId="0" borderId="0" xfId="101" applyNumberFormat="1" applyFont="1" applyFill="1" applyAlignment="1">
      <alignment vertical="center"/>
      <protection/>
    </xf>
    <xf numFmtId="197" fontId="11" fillId="0" borderId="17" xfId="101" applyNumberFormat="1" applyFont="1" applyFill="1" applyBorder="1" applyAlignment="1">
      <alignment horizontal="center" vertical="center"/>
      <protection/>
    </xf>
    <xf numFmtId="197" fontId="40" fillId="0" borderId="4" xfId="101" applyNumberFormat="1" applyFont="1" applyFill="1" applyBorder="1" applyAlignment="1">
      <alignment vertical="center"/>
      <protection/>
    </xf>
    <xf numFmtId="197" fontId="40" fillId="0" borderId="4" xfId="101" applyNumberFormat="1" applyFont="1" applyFill="1" applyBorder="1" applyAlignment="1">
      <alignment horizontal="center" vertical="center"/>
      <protection/>
    </xf>
    <xf numFmtId="197" fontId="39" fillId="0" borderId="0" xfId="101" applyNumberFormat="1" applyFont="1" applyFill="1" applyAlignment="1">
      <alignment horizontal="center" vertical="center"/>
      <protection/>
    </xf>
    <xf numFmtId="197" fontId="42" fillId="0" borderId="0" xfId="101" applyNumberFormat="1" applyFont="1" applyFill="1" applyAlignment="1">
      <alignment horizontal="center" vertical="center"/>
      <protection/>
    </xf>
    <xf numFmtId="197" fontId="41" fillId="0" borderId="4" xfId="101" applyNumberFormat="1" applyFont="1" applyFill="1" applyBorder="1" applyAlignment="1">
      <alignment vertical="center"/>
      <protection/>
    </xf>
    <xf numFmtId="197" fontId="41" fillId="0" borderId="4" xfId="101" applyNumberFormat="1" applyFont="1" applyFill="1" applyBorder="1" applyAlignment="1">
      <alignment horizontal="center" vertical="center"/>
      <protection/>
    </xf>
    <xf numFmtId="197" fontId="42" fillId="0" borderId="4" xfId="101" applyNumberFormat="1" applyFont="1" applyFill="1" applyBorder="1" applyAlignment="1">
      <alignment horizontal="center" vertical="center" wrapText="1"/>
      <protection/>
    </xf>
    <xf numFmtId="197" fontId="42" fillId="0" borderId="4" xfId="101" applyNumberFormat="1" applyFont="1" applyFill="1" applyBorder="1" applyAlignment="1">
      <alignment horizontal="center" vertical="center"/>
      <protection/>
    </xf>
    <xf numFmtId="0" fontId="11" fillId="0" borderId="18" xfId="101" applyFont="1" applyFill="1" applyBorder="1" applyAlignment="1">
      <alignment horizontal="center" vertical="center"/>
      <protection/>
    </xf>
    <xf numFmtId="49" fontId="11" fillId="25" borderId="19" xfId="101" applyNumberFormat="1" applyFont="1" applyFill="1" applyBorder="1" applyAlignment="1">
      <alignment horizontal="center" vertical="center"/>
      <protection/>
    </xf>
    <xf numFmtId="197" fontId="38" fillId="25" borderId="20" xfId="101" applyNumberFormat="1" applyFont="1" applyFill="1" applyBorder="1" applyAlignment="1">
      <alignment vertical="center"/>
      <protection/>
    </xf>
    <xf numFmtId="0" fontId="11" fillId="25" borderId="20" xfId="101" applyFont="1" applyFill="1" applyBorder="1" applyAlignment="1">
      <alignment horizontal="center" vertical="center"/>
      <protection/>
    </xf>
    <xf numFmtId="197" fontId="38" fillId="25" borderId="20" xfId="101" applyNumberFormat="1" applyFont="1" applyFill="1" applyBorder="1" applyAlignment="1">
      <alignment horizontal="center" vertical="center" wrapText="1"/>
      <protection/>
    </xf>
    <xf numFmtId="197" fontId="43" fillId="25" borderId="19" xfId="101" applyNumberFormat="1" applyFont="1" applyFill="1" applyBorder="1" applyAlignment="1">
      <alignment vertical="center"/>
      <protection/>
    </xf>
    <xf numFmtId="197" fontId="44" fillId="25" borderId="20" xfId="101" applyNumberFormat="1" applyFont="1" applyFill="1" applyBorder="1" applyAlignment="1">
      <alignment vertical="center"/>
      <protection/>
    </xf>
    <xf numFmtId="197" fontId="44" fillId="25" borderId="20" xfId="101" applyNumberFormat="1" applyFont="1" applyFill="1" applyBorder="1" applyAlignment="1">
      <alignment horizontal="center" vertical="center" wrapText="1"/>
      <protection/>
    </xf>
    <xf numFmtId="197" fontId="43" fillId="0" borderId="14" xfId="101" applyNumberFormat="1" applyFont="1" applyFill="1" applyBorder="1" applyAlignment="1">
      <alignment vertical="center"/>
      <protection/>
    </xf>
    <xf numFmtId="197" fontId="40" fillId="0" borderId="15" xfId="101" applyNumberFormat="1" applyFont="1" applyFill="1" applyBorder="1" applyAlignment="1">
      <alignment vertical="center"/>
      <protection/>
    </xf>
    <xf numFmtId="0" fontId="11" fillId="0" borderId="15" xfId="101" applyFont="1" applyFill="1" applyBorder="1" applyAlignment="1">
      <alignment horizontal="center" vertical="center"/>
      <protection/>
    </xf>
    <xf numFmtId="197" fontId="40" fillId="26" borderId="15" xfId="101" applyNumberFormat="1" applyFont="1" applyFill="1" applyBorder="1" applyAlignment="1">
      <alignment horizontal="center" vertical="center"/>
      <protection/>
    </xf>
    <xf numFmtId="197" fontId="43" fillId="0" borderId="17" xfId="101" applyNumberFormat="1" applyFont="1" applyFill="1" applyBorder="1" applyAlignment="1">
      <alignment vertical="center"/>
      <protection/>
    </xf>
    <xf numFmtId="197" fontId="40" fillId="0" borderId="4" xfId="101" applyNumberFormat="1" applyFont="1" applyFill="1" applyBorder="1" applyAlignment="1">
      <alignment horizontal="left" vertical="center" wrapText="1"/>
      <protection/>
    </xf>
    <xf numFmtId="49" fontId="11" fillId="0" borderId="17" xfId="101" applyNumberFormat="1" applyFont="1" applyFill="1" applyBorder="1" applyAlignment="1">
      <alignment horizontal="center" vertical="center"/>
      <protection/>
    </xf>
    <xf numFmtId="197" fontId="42" fillId="0" borderId="4" xfId="101" applyNumberFormat="1" applyFont="1" applyFill="1" applyBorder="1" applyAlignment="1">
      <alignment vertical="center"/>
      <protection/>
    </xf>
    <xf numFmtId="197" fontId="43" fillId="0" borderId="21" xfId="101" applyNumberFormat="1" applyFont="1" applyFill="1" applyBorder="1" applyAlignment="1">
      <alignment vertical="center"/>
      <protection/>
    </xf>
    <xf numFmtId="197" fontId="41" fillId="0" borderId="15" xfId="101" applyNumberFormat="1" applyFont="1" applyFill="1" applyBorder="1" applyAlignment="1">
      <alignment horizontal="center" vertical="center"/>
      <protection/>
    </xf>
    <xf numFmtId="196" fontId="42" fillId="0" borderId="0" xfId="101" applyNumberFormat="1" applyFont="1" applyFill="1" applyAlignment="1">
      <alignment vertical="center"/>
      <protection/>
    </xf>
    <xf numFmtId="3" fontId="41" fillId="0" borderId="4" xfId="101" applyNumberFormat="1" applyFont="1" applyFill="1" applyBorder="1" applyAlignment="1">
      <alignment horizontal="center" vertical="center" wrapText="1"/>
      <protection/>
    </xf>
    <xf numFmtId="197" fontId="45" fillId="0" borderId="15" xfId="101" applyNumberFormat="1" applyFont="1" applyFill="1" applyBorder="1" applyAlignment="1">
      <alignment horizontal="center" vertical="center"/>
      <protection/>
    </xf>
    <xf numFmtId="197" fontId="45" fillId="0" borderId="4" xfId="101" applyNumberFormat="1" applyFont="1" applyFill="1" applyBorder="1" applyAlignment="1">
      <alignment horizontal="center" vertical="center"/>
      <protection/>
    </xf>
    <xf numFmtId="3" fontId="42" fillId="0" borderId="0" xfId="101" applyNumberFormat="1" applyFont="1" applyFill="1" applyAlignment="1">
      <alignment horizontal="center" vertical="center"/>
      <protection/>
    </xf>
    <xf numFmtId="197" fontId="42" fillId="0" borderId="4" xfId="101" applyNumberFormat="1" applyFont="1" applyFill="1" applyBorder="1" applyAlignment="1">
      <alignment vertical="center" wrapText="1"/>
      <protection/>
    </xf>
    <xf numFmtId="197" fontId="40" fillId="0" borderId="4" xfId="103" applyNumberFormat="1" applyFont="1" applyFill="1" applyBorder="1" applyAlignment="1">
      <alignment vertical="center" wrapText="1"/>
      <protection/>
    </xf>
    <xf numFmtId="197" fontId="43" fillId="0" borderId="22" xfId="101" applyNumberFormat="1" applyFont="1" applyFill="1" applyBorder="1" applyAlignment="1">
      <alignment vertical="center"/>
      <protection/>
    </xf>
    <xf numFmtId="197" fontId="44" fillId="0" borderId="23" xfId="101" applyNumberFormat="1" applyFont="1" applyFill="1" applyBorder="1" applyAlignment="1">
      <alignment vertical="center"/>
      <protection/>
    </xf>
    <xf numFmtId="197" fontId="44" fillId="0" borderId="23" xfId="101" applyNumberFormat="1" applyFont="1" applyFill="1" applyBorder="1" applyAlignment="1">
      <alignment horizontal="center" vertical="center" wrapText="1"/>
      <protection/>
    </xf>
    <xf numFmtId="196" fontId="44" fillId="25" borderId="20" xfId="101" applyNumberFormat="1" applyFont="1" applyFill="1" applyBorder="1" applyAlignment="1">
      <alignment horizontal="center" vertical="center" wrapText="1"/>
      <protection/>
    </xf>
    <xf numFmtId="199" fontId="44" fillId="25" borderId="20" xfId="101" applyNumberFormat="1" applyFont="1" applyFill="1" applyBorder="1" applyAlignment="1">
      <alignment horizontal="center" vertical="center" wrapText="1"/>
      <protection/>
    </xf>
    <xf numFmtId="49" fontId="11" fillId="27" borderId="19" xfId="101" applyNumberFormat="1" applyFont="1" applyFill="1" applyBorder="1" applyAlignment="1">
      <alignment horizontal="center" vertical="center"/>
      <protection/>
    </xf>
    <xf numFmtId="197" fontId="44" fillId="27" borderId="20" xfId="101" applyNumberFormat="1" applyFont="1" applyFill="1" applyBorder="1" applyAlignment="1">
      <alignment vertical="center"/>
      <protection/>
    </xf>
    <xf numFmtId="197" fontId="42" fillId="27" borderId="20" xfId="101" applyNumberFormat="1" applyFont="1" applyFill="1" applyBorder="1" applyAlignment="1">
      <alignment vertical="center"/>
      <protection/>
    </xf>
    <xf numFmtId="197" fontId="44" fillId="27" borderId="20" xfId="101" applyNumberFormat="1" applyFont="1" applyFill="1" applyBorder="1" applyAlignment="1">
      <alignment horizontal="center" vertical="center"/>
      <protection/>
    </xf>
    <xf numFmtId="197" fontId="46" fillId="0" borderId="14" xfId="101" applyNumberFormat="1" applyFont="1" applyFill="1" applyBorder="1" applyAlignment="1">
      <alignment vertical="center"/>
      <protection/>
    </xf>
    <xf numFmtId="197" fontId="42" fillId="0" borderId="15" xfId="101" applyNumberFormat="1" applyFont="1" applyFill="1" applyBorder="1" applyAlignment="1">
      <alignment vertical="center"/>
      <protection/>
    </xf>
    <xf numFmtId="197" fontId="42" fillId="0" borderId="24" xfId="101" applyNumberFormat="1" applyFont="1" applyFill="1" applyBorder="1" applyAlignment="1">
      <alignment horizontal="center" vertical="center"/>
      <protection/>
    </xf>
    <xf numFmtId="197" fontId="42" fillId="0" borderId="15" xfId="101" applyNumberFormat="1" applyFont="1" applyFill="1" applyBorder="1" applyAlignment="1">
      <alignment horizontal="center" vertical="center" wrapText="1"/>
      <protection/>
    </xf>
    <xf numFmtId="197" fontId="42" fillId="0" borderId="15" xfId="101" applyNumberFormat="1" applyFont="1" applyFill="1" applyBorder="1" applyAlignment="1">
      <alignment horizontal="center" vertical="center" wrapText="1"/>
      <protection/>
    </xf>
    <xf numFmtId="197" fontId="46" fillId="0" borderId="17" xfId="101" applyNumberFormat="1" applyFont="1" applyFill="1" applyBorder="1" applyAlignment="1">
      <alignment vertical="center"/>
      <protection/>
    </xf>
    <xf numFmtId="197" fontId="42" fillId="0" borderId="4" xfId="101" applyNumberFormat="1" applyFont="1" applyFill="1" applyBorder="1" applyAlignment="1">
      <alignment vertical="center"/>
      <protection/>
    </xf>
    <xf numFmtId="197" fontId="42" fillId="0" borderId="25" xfId="101" applyNumberFormat="1" applyFont="1" applyFill="1" applyBorder="1" applyAlignment="1">
      <alignment horizontal="center" vertical="center"/>
      <protection/>
    </xf>
    <xf numFmtId="4" fontId="39" fillId="0" borderId="0" xfId="101" applyNumberFormat="1" applyFont="1" applyFill="1" applyAlignment="1">
      <alignment vertical="center"/>
      <protection/>
    </xf>
    <xf numFmtId="199" fontId="39" fillId="0" borderId="0" xfId="101" applyNumberFormat="1" applyFont="1" applyFill="1" applyAlignment="1">
      <alignment vertical="center"/>
      <protection/>
    </xf>
    <xf numFmtId="184" fontId="39" fillId="0" borderId="0" xfId="101" applyNumberFormat="1" applyFont="1" applyFill="1" applyAlignment="1">
      <alignment vertical="center"/>
      <protection/>
    </xf>
    <xf numFmtId="184" fontId="47" fillId="0" borderId="0" xfId="101" applyNumberFormat="1" applyFont="1" applyFill="1" applyAlignment="1">
      <alignment vertical="center"/>
      <protection/>
    </xf>
    <xf numFmtId="197" fontId="43" fillId="0" borderId="26" xfId="101" applyNumberFormat="1" applyFont="1" applyFill="1" applyBorder="1" applyAlignment="1">
      <alignment vertical="center"/>
      <protection/>
    </xf>
    <xf numFmtId="197" fontId="42" fillId="0" borderId="27" xfId="101" applyNumberFormat="1" applyFont="1" applyFill="1" applyBorder="1" applyAlignment="1">
      <alignment vertical="center"/>
      <protection/>
    </xf>
    <xf numFmtId="197" fontId="42" fillId="0" borderId="28" xfId="101" applyNumberFormat="1" applyFont="1" applyFill="1" applyBorder="1" applyAlignment="1">
      <alignment horizontal="center" vertical="center"/>
      <protection/>
    </xf>
    <xf numFmtId="197" fontId="42" fillId="0" borderId="27" xfId="101" applyNumberFormat="1" applyFont="1" applyFill="1" applyBorder="1" applyAlignment="1">
      <alignment horizontal="center" vertical="center" wrapText="1"/>
      <protection/>
    </xf>
    <xf numFmtId="197" fontId="44" fillId="25" borderId="20" xfId="101" applyNumberFormat="1" applyFont="1" applyFill="1" applyBorder="1" applyAlignment="1">
      <alignment horizontal="left" vertical="center" wrapText="1"/>
      <protection/>
    </xf>
    <xf numFmtId="199" fontId="47" fillId="0" borderId="0" xfId="101" applyNumberFormat="1" applyFont="1" applyFill="1" applyAlignment="1">
      <alignment vertical="center"/>
      <protection/>
    </xf>
    <xf numFmtId="197" fontId="46" fillId="0" borderId="29" xfId="101" applyNumberFormat="1" applyFont="1" applyFill="1" applyBorder="1" applyAlignment="1">
      <alignment vertical="center"/>
      <protection/>
    </xf>
    <xf numFmtId="197" fontId="44" fillId="0" borderId="30" xfId="101" applyNumberFormat="1" applyFont="1" applyFill="1" applyBorder="1" applyAlignment="1">
      <alignment vertical="center"/>
      <protection/>
    </xf>
    <xf numFmtId="198" fontId="44" fillId="0" borderId="30" xfId="101" applyNumberFormat="1" applyFont="1" applyFill="1" applyBorder="1" applyAlignment="1">
      <alignment horizontal="center" vertical="center"/>
      <protection/>
    </xf>
    <xf numFmtId="199" fontId="44" fillId="0" borderId="30" xfId="101" applyNumberFormat="1" applyFont="1" applyFill="1" applyBorder="1" applyAlignment="1">
      <alignment horizontal="center" vertical="center"/>
      <protection/>
    </xf>
    <xf numFmtId="199" fontId="42" fillId="0" borderId="30" xfId="101" applyNumberFormat="1" applyFont="1" applyFill="1" applyBorder="1" applyAlignment="1">
      <alignment horizontal="center" vertical="center" wrapText="1"/>
      <protection/>
    </xf>
    <xf numFmtId="194" fontId="39" fillId="0" borderId="0" xfId="101" applyNumberFormat="1" applyFont="1" applyFill="1" applyAlignment="1">
      <alignment vertical="center"/>
      <protection/>
    </xf>
    <xf numFmtId="197" fontId="46" fillId="0" borderId="0" xfId="101" applyNumberFormat="1" applyFont="1" applyFill="1" applyBorder="1" applyAlignment="1">
      <alignment vertical="center"/>
      <protection/>
    </xf>
    <xf numFmtId="197" fontId="44" fillId="0" borderId="0" xfId="101" applyNumberFormat="1" applyFont="1" applyFill="1" applyBorder="1" applyAlignment="1">
      <alignment vertical="center"/>
      <protection/>
    </xf>
    <xf numFmtId="198" fontId="44" fillId="0" borderId="0" xfId="101" applyNumberFormat="1" applyFont="1" applyFill="1" applyBorder="1" applyAlignment="1">
      <alignment horizontal="center" vertical="center"/>
      <protection/>
    </xf>
    <xf numFmtId="199" fontId="44" fillId="0" borderId="0" xfId="101" applyNumberFormat="1" applyFont="1" applyFill="1" applyBorder="1" applyAlignment="1">
      <alignment horizontal="center" vertical="center"/>
      <protection/>
    </xf>
    <xf numFmtId="199" fontId="42" fillId="0" borderId="0" xfId="101" applyNumberFormat="1" applyFont="1" applyFill="1" applyBorder="1" applyAlignment="1">
      <alignment horizontal="center" vertical="center" wrapText="1"/>
      <protection/>
    </xf>
    <xf numFmtId="196" fontId="44" fillId="0" borderId="0" xfId="101" applyNumberFormat="1" applyFont="1" applyFill="1" applyBorder="1" applyAlignment="1">
      <alignment horizontal="center" vertical="center" wrapText="1"/>
      <protection/>
    </xf>
    <xf numFmtId="199" fontId="44" fillId="0" borderId="0" xfId="101" applyNumberFormat="1" applyFont="1" applyFill="1" applyBorder="1" applyAlignment="1">
      <alignment horizontal="center" vertical="center" wrapText="1"/>
      <protection/>
    </xf>
    <xf numFmtId="184" fontId="44" fillId="0" borderId="0" xfId="101" applyNumberFormat="1" applyFont="1" applyFill="1" applyBorder="1" applyAlignment="1">
      <alignment horizontal="center" vertical="center" wrapText="1"/>
      <protection/>
    </xf>
    <xf numFmtId="0" fontId="48" fillId="0" borderId="0" xfId="101" applyFont="1" applyFill="1">
      <alignment/>
      <protection/>
    </xf>
    <xf numFmtId="3" fontId="48" fillId="0" borderId="0" xfId="101" applyNumberFormat="1" applyFont="1" applyFill="1" applyAlignment="1">
      <alignment horizontal="center"/>
      <protection/>
    </xf>
    <xf numFmtId="3" fontId="48" fillId="24" borderId="0" xfId="101" applyNumberFormat="1" applyFont="1" applyFill="1" applyAlignment="1">
      <alignment horizontal="center"/>
      <protection/>
    </xf>
    <xf numFmtId="1" fontId="48" fillId="0" borderId="0" xfId="101" applyNumberFormat="1" applyFont="1" applyFill="1">
      <alignment/>
      <protection/>
    </xf>
    <xf numFmtId="0" fontId="49" fillId="0" borderId="0" xfId="101" applyFont="1" applyFill="1" applyAlignment="1">
      <alignment horizontal="left"/>
      <protection/>
    </xf>
    <xf numFmtId="0" fontId="48" fillId="0" borderId="0" xfId="101" applyFont="1" applyFill="1" applyAlignment="1">
      <alignment vertical="center" wrapText="1"/>
      <protection/>
    </xf>
    <xf numFmtId="0" fontId="48" fillId="0" borderId="0" xfId="101" applyFont="1" applyFill="1" applyAlignment="1">
      <alignment horizontal="center" vertical="center" wrapText="1"/>
      <protection/>
    </xf>
    <xf numFmtId="183" fontId="48" fillId="0" borderId="0" xfId="101" applyNumberFormat="1" applyFont="1" applyFill="1">
      <alignment/>
      <protection/>
    </xf>
    <xf numFmtId="0" fontId="48" fillId="0" borderId="0" xfId="101" applyFont="1" applyFill="1" applyAlignment="1">
      <alignment horizontal="left" vertical="center" wrapText="1"/>
      <protection/>
    </xf>
    <xf numFmtId="0" fontId="48" fillId="0" borderId="0" xfId="101" applyFont="1" applyFill="1" applyAlignment="1">
      <alignment horizontal="right" vertical="center" wrapText="1"/>
      <protection/>
    </xf>
    <xf numFmtId="0" fontId="48" fillId="0" borderId="0" xfId="101" applyFont="1" applyFill="1" applyAlignment="1">
      <alignment horizontal="center"/>
      <protection/>
    </xf>
    <xf numFmtId="3" fontId="48" fillId="0" borderId="0" xfId="101" applyNumberFormat="1" applyFont="1" applyFill="1">
      <alignment/>
      <protection/>
    </xf>
    <xf numFmtId="3" fontId="48" fillId="0" borderId="0" xfId="101" applyNumberFormat="1" applyFont="1" applyFill="1" applyAlignment="1">
      <alignment horizontal="right" vertical="center" wrapText="1"/>
      <protection/>
    </xf>
    <xf numFmtId="0" fontId="31" fillId="0" borderId="0" xfId="101" applyFont="1" applyFill="1">
      <alignment/>
      <protection/>
    </xf>
    <xf numFmtId="197" fontId="11" fillId="0" borderId="4" xfId="101" applyNumberFormat="1" applyFont="1" applyFill="1" applyBorder="1" applyAlignment="1">
      <alignment horizontal="left" vertical="center" wrapText="1"/>
      <protection/>
    </xf>
    <xf numFmtId="197" fontId="41" fillId="0" borderId="4" xfId="101" applyNumberFormat="1" applyFont="1" applyFill="1" applyBorder="1" applyAlignment="1">
      <alignment horizontal="left" vertical="center" wrapText="1"/>
      <protection/>
    </xf>
    <xf numFmtId="197" fontId="40" fillId="0" borderId="15" xfId="101" applyNumberFormat="1" applyFont="1" applyFill="1" applyBorder="1" applyAlignment="1">
      <alignment horizontal="left" vertical="center" wrapText="1"/>
      <protection/>
    </xf>
    <xf numFmtId="197" fontId="41" fillId="0" borderId="15" xfId="101" applyNumberFormat="1" applyFont="1" applyFill="1" applyBorder="1" applyAlignment="1">
      <alignment horizontal="center" vertical="center" wrapText="1"/>
      <protection/>
    </xf>
    <xf numFmtId="197" fontId="40" fillId="0" borderId="23" xfId="101" applyNumberFormat="1" applyFont="1" applyFill="1" applyBorder="1" applyAlignment="1">
      <alignment horizontal="center" vertical="center"/>
      <protection/>
    </xf>
    <xf numFmtId="197" fontId="40" fillId="0" borderId="15" xfId="101" applyNumberFormat="1" applyFont="1" applyFill="1" applyBorder="1" applyAlignment="1">
      <alignment horizontal="center" vertical="center"/>
      <protection/>
    </xf>
    <xf numFmtId="198" fontId="44" fillId="0" borderId="30" xfId="101" applyNumberFormat="1" applyFont="1" applyFill="1" applyBorder="1" applyAlignment="1">
      <alignment horizontal="center" vertical="center" wrapText="1"/>
      <protection/>
    </xf>
    <xf numFmtId="197" fontId="38" fillId="0" borderId="4" xfId="101" applyNumberFormat="1" applyFont="1" applyFill="1" applyBorder="1" applyAlignment="1">
      <alignment vertical="center"/>
      <protection/>
    </xf>
    <xf numFmtId="197" fontId="38" fillId="0" borderId="4" xfId="101" applyNumberFormat="1" applyFont="1" applyFill="1" applyBorder="1" applyAlignment="1">
      <alignment horizontal="center" vertical="center" wrapText="1"/>
      <protection/>
    </xf>
    <xf numFmtId="196" fontId="40" fillId="0" borderId="4" xfId="101" applyNumberFormat="1" applyFont="1" applyFill="1" applyBorder="1" applyAlignment="1">
      <alignment horizontal="center" vertical="center" wrapText="1"/>
      <protection/>
    </xf>
    <xf numFmtId="198" fontId="44" fillId="25" borderId="20" xfId="101" applyNumberFormat="1" applyFont="1" applyFill="1" applyBorder="1" applyAlignment="1">
      <alignment horizontal="center" vertical="center" wrapText="1"/>
      <protection/>
    </xf>
    <xf numFmtId="197" fontId="40" fillId="0" borderId="18" xfId="101" applyNumberFormat="1" applyFont="1" applyFill="1" applyBorder="1" applyAlignment="1">
      <alignment horizontal="center" vertical="center"/>
      <protection/>
    </xf>
    <xf numFmtId="197" fontId="11" fillId="0" borderId="4" xfId="101" applyNumberFormat="1" applyFont="1" applyFill="1" applyBorder="1" applyAlignment="1">
      <alignment vertical="center"/>
      <protection/>
    </xf>
    <xf numFmtId="197" fontId="39" fillId="0" borderId="0" xfId="101" applyNumberFormat="1" applyFont="1" applyFill="1" applyAlignment="1">
      <alignment vertical="center"/>
      <protection/>
    </xf>
    <xf numFmtId="3" fontId="39" fillId="0" borderId="0" xfId="101" applyNumberFormat="1" applyFont="1" applyFill="1" applyAlignment="1">
      <alignment vertical="center"/>
      <protection/>
    </xf>
    <xf numFmtId="197" fontId="42" fillId="0" borderId="0" xfId="101" applyNumberFormat="1" applyFont="1" applyFill="1" applyAlignment="1">
      <alignment vertical="center"/>
      <protection/>
    </xf>
    <xf numFmtId="197" fontId="39" fillId="0" borderId="0" xfId="101" applyNumberFormat="1" applyFont="1" applyFill="1" applyAlignment="1">
      <alignment horizontal="center" vertical="center"/>
      <protection/>
    </xf>
    <xf numFmtId="197" fontId="42" fillId="0" borderId="0" xfId="101" applyNumberFormat="1" applyFont="1" applyFill="1" applyAlignment="1">
      <alignment horizontal="center" vertical="center"/>
      <protection/>
    </xf>
    <xf numFmtId="49" fontId="11" fillId="0" borderId="17" xfId="101" applyNumberFormat="1" applyFont="1" applyFill="1" applyBorder="1" applyAlignment="1">
      <alignment horizontal="center" vertical="center"/>
      <protection/>
    </xf>
    <xf numFmtId="196" fontId="42" fillId="0" borderId="0" xfId="101" applyNumberFormat="1" applyFont="1" applyFill="1" applyAlignment="1">
      <alignment vertical="center"/>
      <protection/>
    </xf>
    <xf numFmtId="3" fontId="42" fillId="0" borderId="0" xfId="101" applyNumberFormat="1" applyFont="1" applyFill="1" applyAlignment="1">
      <alignment horizontal="center" vertical="center"/>
      <protection/>
    </xf>
    <xf numFmtId="197" fontId="42" fillId="0" borderId="4" xfId="101" applyNumberFormat="1" applyFont="1" applyFill="1" applyBorder="1" applyAlignment="1">
      <alignment vertical="center" wrapText="1"/>
      <protection/>
    </xf>
    <xf numFmtId="4" fontId="39" fillId="0" borderId="0" xfId="101" applyNumberFormat="1" applyFont="1" applyFill="1" applyAlignment="1">
      <alignment vertical="center"/>
      <protection/>
    </xf>
    <xf numFmtId="196" fontId="39" fillId="0" borderId="0" xfId="101" applyNumberFormat="1" applyFont="1" applyFill="1" applyAlignment="1">
      <alignment vertical="center"/>
      <protection/>
    </xf>
    <xf numFmtId="199" fontId="39" fillId="0" borderId="0" xfId="101" applyNumberFormat="1" applyFont="1" applyFill="1" applyAlignment="1">
      <alignment vertical="center"/>
      <protection/>
    </xf>
    <xf numFmtId="184" fontId="39" fillId="0" borderId="0" xfId="101" applyNumberFormat="1" applyFont="1" applyFill="1" applyAlignment="1">
      <alignment vertical="center"/>
      <protection/>
    </xf>
    <xf numFmtId="197" fontId="44" fillId="25" borderId="4" xfId="101" applyNumberFormat="1" applyFont="1" applyFill="1" applyBorder="1" applyAlignment="1">
      <alignment horizontal="center" vertical="center" wrapText="1"/>
      <protection/>
    </xf>
    <xf numFmtId="196" fontId="36" fillId="0" borderId="15" xfId="101" applyNumberFormat="1" applyFont="1" applyFill="1" applyBorder="1" applyAlignment="1">
      <alignment horizontal="center" vertical="center"/>
      <protection/>
    </xf>
    <xf numFmtId="197" fontId="38" fillId="0" borderId="15" xfId="101" applyNumberFormat="1" applyFont="1" applyFill="1" applyBorder="1" applyAlignment="1">
      <alignment horizontal="center" vertical="center"/>
      <protection/>
    </xf>
    <xf numFmtId="197" fontId="38" fillId="0" borderId="4" xfId="101" applyNumberFormat="1" applyFont="1" applyFill="1" applyBorder="1" applyAlignment="1">
      <alignment horizontal="center" vertical="center"/>
      <protection/>
    </xf>
    <xf numFmtId="197" fontId="35" fillId="0" borderId="4" xfId="101" applyNumberFormat="1" applyFont="1" applyFill="1" applyBorder="1" applyAlignment="1">
      <alignment horizontal="center" vertical="center"/>
      <protection/>
    </xf>
    <xf numFmtId="0" fontId="40" fillId="0" borderId="0" xfId="101" applyFont="1" applyFill="1" applyAlignment="1">
      <alignment horizontal="left"/>
      <protection/>
    </xf>
    <xf numFmtId="0" fontId="40" fillId="0" borderId="0" xfId="101" applyFont="1" applyFill="1">
      <alignment/>
      <protection/>
    </xf>
    <xf numFmtId="1" fontId="40" fillId="0" borderId="0" xfId="101" applyNumberFormat="1" applyFont="1" applyFill="1" applyAlignment="1">
      <alignment horizontal="right"/>
      <protection/>
    </xf>
    <xf numFmtId="2" fontId="40" fillId="0" borderId="0" xfId="101" applyNumberFormat="1" applyFont="1" applyFill="1" applyAlignment="1">
      <alignment horizontal="right"/>
      <protection/>
    </xf>
    <xf numFmtId="197" fontId="40" fillId="0" borderId="0" xfId="101" applyNumberFormat="1" applyFont="1" applyFill="1">
      <alignment/>
      <protection/>
    </xf>
    <xf numFmtId="197" fontId="40" fillId="0" borderId="0" xfId="101" applyNumberFormat="1" applyFont="1" applyFill="1" applyAlignment="1">
      <alignment horizontal="right"/>
      <protection/>
    </xf>
    <xf numFmtId="0" fontId="40" fillId="0" borderId="0" xfId="101" applyFont="1" applyFill="1" applyAlignment="1">
      <alignment horizontal="right"/>
      <protection/>
    </xf>
    <xf numFmtId="197" fontId="38" fillId="0" borderId="15" xfId="101" applyNumberFormat="1" applyFont="1" applyFill="1" applyBorder="1" applyAlignment="1">
      <alignment horizontal="center" vertical="center" wrapText="1"/>
      <protection/>
    </xf>
    <xf numFmtId="0" fontId="38" fillId="0" borderId="4" xfId="101" applyFont="1" applyFill="1" applyBorder="1" applyAlignment="1">
      <alignment horizontal="center" vertical="center" wrapText="1"/>
      <protection/>
    </xf>
    <xf numFmtId="0" fontId="36" fillId="0" borderId="4" xfId="101" applyFont="1" applyFill="1" applyBorder="1" applyAlignment="1">
      <alignment horizontal="left" vertical="center" wrapText="1"/>
      <protection/>
    </xf>
    <xf numFmtId="3" fontId="38" fillId="0" borderId="4" xfId="101" applyNumberFormat="1" applyFont="1" applyFill="1" applyBorder="1" applyAlignment="1">
      <alignment horizontal="center" vertical="center"/>
      <protection/>
    </xf>
    <xf numFmtId="0" fontId="37" fillId="0" borderId="4" xfId="101" applyFont="1" applyFill="1" applyBorder="1" applyAlignment="1">
      <alignment horizontal="left" vertical="center" wrapText="1"/>
      <protection/>
    </xf>
    <xf numFmtId="0" fontId="38" fillId="0" borderId="4" xfId="101" applyFont="1" applyFill="1" applyBorder="1" applyAlignment="1">
      <alignment horizontal="center" vertical="center"/>
      <protection/>
    </xf>
    <xf numFmtId="197" fontId="11" fillId="0" borderId="4" xfId="101" applyNumberFormat="1" applyFont="1" applyFill="1" applyBorder="1" applyAlignment="1">
      <alignment horizontal="center" vertical="center" wrapText="1"/>
      <protection/>
    </xf>
    <xf numFmtId="0" fontId="11" fillId="0" borderId="4" xfId="101" applyFont="1" applyFill="1" applyBorder="1" applyAlignment="1">
      <alignment horizontal="left" vertical="center" wrapText="1"/>
      <protection/>
    </xf>
    <xf numFmtId="3" fontId="40" fillId="0" borderId="4" xfId="101" applyNumberFormat="1" applyFont="1" applyFill="1" applyBorder="1" applyAlignment="1">
      <alignment horizontal="left" vertical="center" wrapText="1"/>
      <protection/>
    </xf>
    <xf numFmtId="49" fontId="11" fillId="0" borderId="4" xfId="101" applyNumberFormat="1" applyFont="1" applyFill="1" applyBorder="1" applyAlignment="1">
      <alignment horizontal="center" vertical="center" wrapText="1"/>
      <protection/>
    </xf>
    <xf numFmtId="49" fontId="36" fillId="0" borderId="4" xfId="101" applyNumberFormat="1" applyFont="1" applyFill="1" applyBorder="1" applyAlignment="1">
      <alignment horizontal="center" vertical="center" wrapText="1"/>
      <protection/>
    </xf>
    <xf numFmtId="197" fontId="38" fillId="0" borderId="4" xfId="101" applyNumberFormat="1" applyFont="1" applyFill="1" applyBorder="1" applyAlignment="1">
      <alignment horizontal="left" vertical="center" wrapText="1"/>
      <protection/>
    </xf>
    <xf numFmtId="197" fontId="36" fillId="0" borderId="4" xfId="101" applyNumberFormat="1" applyFont="1" applyFill="1" applyBorder="1" applyAlignment="1">
      <alignment horizontal="center" vertical="center" wrapText="1"/>
      <protection/>
    </xf>
    <xf numFmtId="198" fontId="38" fillId="0" borderId="4" xfId="101" applyNumberFormat="1" applyFont="1" applyFill="1" applyBorder="1" applyAlignment="1">
      <alignment horizontal="center" vertical="center" wrapText="1"/>
      <protection/>
    </xf>
    <xf numFmtId="0" fontId="40" fillId="0" borderId="4" xfId="101" applyFont="1" applyFill="1" applyBorder="1" applyAlignment="1">
      <alignment horizontal="left" vertical="center" wrapText="1"/>
      <protection/>
    </xf>
    <xf numFmtId="0" fontId="38" fillId="0" borderId="0" xfId="101" applyFont="1" applyFill="1">
      <alignment/>
      <protection/>
    </xf>
    <xf numFmtId="0" fontId="42" fillId="0" borderId="0" xfId="101" applyFont="1" applyFill="1" applyAlignment="1">
      <alignment horizontal="center" vertical="center" wrapText="1"/>
      <protection/>
    </xf>
    <xf numFmtId="0" fontId="42" fillId="0" borderId="0" xfId="101" applyFont="1" applyFill="1" applyBorder="1" applyAlignment="1">
      <alignment horizontal="right"/>
      <protection/>
    </xf>
    <xf numFmtId="0" fontId="55" fillId="0" borderId="0" xfId="101" applyFont="1" applyFill="1">
      <alignment/>
      <protection/>
    </xf>
    <xf numFmtId="0" fontId="54" fillId="0" borderId="0" xfId="101" applyFont="1" applyFill="1" applyBorder="1" applyAlignment="1">
      <alignment horizontal="center"/>
      <protection/>
    </xf>
    <xf numFmtId="0" fontId="56" fillId="0" borderId="0" xfId="101" applyFont="1" applyFill="1" applyAlignment="1">
      <alignment horizontal="center" vertical="center"/>
      <protection/>
    </xf>
    <xf numFmtId="0" fontId="38" fillId="0" borderId="14" xfId="101" applyFont="1" applyFill="1" applyBorder="1" applyAlignment="1">
      <alignment horizontal="center" vertical="center"/>
      <protection/>
    </xf>
    <xf numFmtId="0" fontId="38" fillId="0" borderId="17" xfId="101" applyFont="1" applyFill="1" applyBorder="1" applyAlignment="1">
      <alignment horizontal="center" vertical="center"/>
      <protection/>
    </xf>
    <xf numFmtId="0" fontId="39" fillId="0" borderId="0" xfId="101" applyFont="1" applyFill="1" applyAlignment="1">
      <alignment vertical="center"/>
      <protection/>
    </xf>
    <xf numFmtId="49" fontId="11" fillId="25" borderId="19" xfId="101" applyNumberFormat="1" applyFont="1" applyFill="1" applyBorder="1" applyAlignment="1">
      <alignment horizontal="center" vertical="center"/>
      <protection/>
    </xf>
    <xf numFmtId="49" fontId="11" fillId="27" borderId="19" xfId="101" applyNumberFormat="1" applyFont="1" applyFill="1" applyBorder="1" applyAlignment="1">
      <alignment horizontal="center" vertical="center"/>
      <protection/>
    </xf>
    <xf numFmtId="197" fontId="42" fillId="27" borderId="20" xfId="101" applyNumberFormat="1" applyFont="1" applyFill="1" applyBorder="1" applyAlignment="1">
      <alignment vertical="center"/>
      <protection/>
    </xf>
    <xf numFmtId="199" fontId="47" fillId="0" borderId="0" xfId="101" applyNumberFormat="1" applyFont="1" applyFill="1" applyAlignment="1">
      <alignment vertical="center"/>
      <protection/>
    </xf>
    <xf numFmtId="197" fontId="46" fillId="0" borderId="29" xfId="101" applyNumberFormat="1" applyFont="1" applyFill="1" applyBorder="1" applyAlignment="1">
      <alignment vertical="center"/>
      <protection/>
    </xf>
    <xf numFmtId="194" fontId="39" fillId="0" borderId="0" xfId="101" applyNumberFormat="1" applyFont="1" applyFill="1" applyAlignment="1">
      <alignment vertical="center"/>
      <protection/>
    </xf>
    <xf numFmtId="197" fontId="46" fillId="0" borderId="0" xfId="101" applyNumberFormat="1" applyFont="1" applyFill="1" applyBorder="1" applyAlignment="1">
      <alignment vertical="center"/>
      <protection/>
    </xf>
    <xf numFmtId="0" fontId="42" fillId="0" borderId="0" xfId="101" applyFont="1" applyFill="1" applyAlignment="1">
      <alignment vertical="center" wrapText="1"/>
      <protection/>
    </xf>
    <xf numFmtId="0" fontId="42" fillId="0" borderId="0" xfId="101" applyFont="1" applyFill="1">
      <alignment/>
      <protection/>
    </xf>
    <xf numFmtId="1" fontId="42" fillId="0" borderId="0" xfId="101" applyNumberFormat="1" applyFont="1" applyFill="1">
      <alignment/>
      <protection/>
    </xf>
    <xf numFmtId="0" fontId="57" fillId="0" borderId="0" xfId="101" applyFont="1" applyFill="1">
      <alignment/>
      <protection/>
    </xf>
    <xf numFmtId="199" fontId="42" fillId="0" borderId="30" xfId="101" applyNumberFormat="1" applyFont="1" applyFill="1" applyBorder="1" applyAlignment="1">
      <alignment horizontal="center" vertical="center" wrapText="1"/>
      <protection/>
    </xf>
    <xf numFmtId="195" fontId="39" fillId="0" borderId="0" xfId="101" applyNumberFormat="1" applyFont="1" applyFill="1" applyAlignment="1">
      <alignment vertical="center"/>
      <protection/>
    </xf>
    <xf numFmtId="183" fontId="40" fillId="0" borderId="0" xfId="101" applyNumberFormat="1" applyFont="1" applyFill="1">
      <alignment/>
      <protection/>
    </xf>
    <xf numFmtId="3" fontId="40" fillId="28" borderId="4" xfId="101" applyNumberFormat="1" applyFont="1" applyFill="1" applyBorder="1" applyAlignment="1">
      <alignment horizontal="center" vertical="center" wrapText="1"/>
      <protection/>
    </xf>
    <xf numFmtId="197" fontId="40" fillId="28" borderId="4" xfId="101" applyNumberFormat="1" applyFont="1" applyFill="1" applyBorder="1" applyAlignment="1">
      <alignment horizontal="center" vertical="center" wrapText="1"/>
      <protection/>
    </xf>
    <xf numFmtId="198" fontId="39" fillId="0" borderId="0" xfId="101" applyNumberFormat="1" applyFont="1" applyFill="1" applyAlignment="1">
      <alignment vertical="center"/>
      <protection/>
    </xf>
    <xf numFmtId="3" fontId="38" fillId="28" borderId="4" xfId="101" applyNumberFormat="1" applyFont="1" applyFill="1" applyBorder="1" applyAlignment="1">
      <alignment horizontal="center" vertical="center" wrapText="1"/>
      <protection/>
    </xf>
    <xf numFmtId="197" fontId="41" fillId="28" borderId="4" xfId="101" applyNumberFormat="1" applyFont="1" applyFill="1" applyBorder="1" applyAlignment="1">
      <alignment vertical="center"/>
      <protection/>
    </xf>
    <xf numFmtId="0" fontId="11" fillId="0" borderId="27" xfId="101" applyFont="1" applyFill="1" applyBorder="1" applyAlignment="1">
      <alignment horizontal="center" vertical="center"/>
      <protection/>
    </xf>
    <xf numFmtId="0" fontId="36" fillId="25" borderId="20" xfId="101" applyFont="1" applyFill="1" applyBorder="1" applyAlignment="1">
      <alignment horizontal="center" vertical="center"/>
      <protection/>
    </xf>
    <xf numFmtId="197" fontId="44" fillId="25" borderId="20" xfId="101" applyNumberFormat="1" applyFont="1" applyFill="1" applyBorder="1" applyAlignment="1">
      <alignment horizontal="center" vertical="center"/>
      <protection/>
    </xf>
    <xf numFmtId="197" fontId="38" fillId="25" borderId="4" xfId="101" applyNumberFormat="1" applyFont="1" applyFill="1" applyBorder="1" applyAlignment="1">
      <alignment horizontal="center" vertical="center"/>
      <protection/>
    </xf>
    <xf numFmtId="3" fontId="48" fillId="28" borderId="0" xfId="101" applyNumberFormat="1" applyFont="1" applyFill="1" applyAlignment="1">
      <alignment horizontal="right" vertical="center" wrapText="1"/>
      <protection/>
    </xf>
    <xf numFmtId="197" fontId="48" fillId="28" borderId="0" xfId="101" applyNumberFormat="1" applyFont="1" applyFill="1" applyAlignment="1">
      <alignment horizontal="right"/>
      <protection/>
    </xf>
    <xf numFmtId="197" fontId="38" fillId="28" borderId="4" xfId="101" applyNumberFormat="1" applyFont="1" applyFill="1" applyBorder="1" applyAlignment="1">
      <alignment horizontal="center" vertical="center" wrapText="1"/>
      <protection/>
    </xf>
    <xf numFmtId="197" fontId="40" fillId="28" borderId="4" xfId="101" applyNumberFormat="1" applyFont="1" applyFill="1" applyBorder="1" applyAlignment="1">
      <alignment vertical="center"/>
      <protection/>
    </xf>
    <xf numFmtId="3" fontId="38" fillId="28" borderId="4" xfId="101" applyNumberFormat="1" applyFont="1" applyFill="1" applyBorder="1" applyAlignment="1">
      <alignment horizontal="center" vertical="center"/>
      <protection/>
    </xf>
    <xf numFmtId="0" fontId="38" fillId="28" borderId="4" xfId="101" applyFont="1" applyFill="1" applyBorder="1" applyAlignment="1">
      <alignment horizontal="center" vertical="center" wrapText="1"/>
      <protection/>
    </xf>
    <xf numFmtId="197" fontId="40" fillId="28" borderId="4" xfId="101" applyNumberFormat="1" applyFont="1" applyFill="1" applyBorder="1" applyAlignment="1">
      <alignment horizontal="center" vertical="center"/>
      <protection/>
    </xf>
    <xf numFmtId="184" fontId="38" fillId="28" borderId="4" xfId="101" applyNumberFormat="1" applyFont="1" applyFill="1" applyBorder="1" applyAlignment="1">
      <alignment horizontal="center" vertical="center" wrapText="1"/>
      <protection/>
    </xf>
    <xf numFmtId="198" fontId="40" fillId="28" borderId="4" xfId="101" applyNumberFormat="1" applyFont="1" applyFill="1" applyBorder="1" applyAlignment="1">
      <alignment horizontal="center" vertical="center" wrapText="1"/>
      <protection/>
    </xf>
    <xf numFmtId="197" fontId="42" fillId="28" borderId="4" xfId="101" applyNumberFormat="1" applyFont="1" applyFill="1" applyBorder="1" applyAlignment="1">
      <alignment horizontal="center" vertical="center" wrapText="1"/>
      <protection/>
    </xf>
    <xf numFmtId="197" fontId="42" fillId="28" borderId="4" xfId="101" applyNumberFormat="1" applyFont="1" applyFill="1" applyBorder="1" applyAlignment="1">
      <alignment horizontal="center" vertical="center"/>
      <protection/>
    </xf>
    <xf numFmtId="3" fontId="41" fillId="28" borderId="4" xfId="101" applyNumberFormat="1" applyFont="1" applyFill="1" applyBorder="1" applyAlignment="1">
      <alignment horizontal="center" vertical="center" wrapText="1"/>
      <protection/>
    </xf>
    <xf numFmtId="197" fontId="41" fillId="28" borderId="4" xfId="101" applyNumberFormat="1" applyFont="1" applyFill="1" applyBorder="1" applyAlignment="1">
      <alignment horizontal="center" vertical="center" wrapText="1"/>
      <protection/>
    </xf>
    <xf numFmtId="197" fontId="42" fillId="28" borderId="15" xfId="101" applyNumberFormat="1" applyFont="1" applyFill="1" applyBorder="1" applyAlignment="1">
      <alignment horizontal="center" vertical="center" wrapText="1"/>
      <protection/>
    </xf>
    <xf numFmtId="197" fontId="42" fillId="28" borderId="27" xfId="101" applyNumberFormat="1" applyFont="1" applyFill="1" applyBorder="1" applyAlignment="1">
      <alignment horizontal="center" vertical="center" wrapText="1"/>
      <protection/>
    </xf>
    <xf numFmtId="197" fontId="38" fillId="0" borderId="27" xfId="101" applyNumberFormat="1" applyFont="1" applyFill="1" applyBorder="1" applyAlignment="1">
      <alignment vertical="center"/>
      <protection/>
    </xf>
    <xf numFmtId="197" fontId="43" fillId="0" borderId="31" xfId="101" applyNumberFormat="1" applyFont="1" applyFill="1" applyBorder="1" applyAlignment="1">
      <alignment vertical="center"/>
      <protection/>
    </xf>
    <xf numFmtId="0" fontId="11" fillId="0" borderId="32" xfId="101" applyFont="1" applyFill="1" applyBorder="1" applyAlignment="1">
      <alignment horizontal="center" vertical="center"/>
      <protection/>
    </xf>
    <xf numFmtId="197" fontId="40" fillId="0" borderId="32" xfId="101" applyNumberFormat="1" applyFont="1" applyFill="1" applyBorder="1" applyAlignment="1">
      <alignment vertical="center"/>
      <protection/>
    </xf>
    <xf numFmtId="197" fontId="40" fillId="0" borderId="32" xfId="101" applyNumberFormat="1" applyFont="1" applyFill="1" applyBorder="1" applyAlignment="1">
      <alignment horizontal="center" vertical="center"/>
      <protection/>
    </xf>
    <xf numFmtId="0" fontId="38" fillId="0" borderId="0" xfId="101" applyFont="1" applyFill="1" applyAlignment="1">
      <alignment horizontal="left" vertical="center" wrapText="1"/>
      <protection/>
    </xf>
    <xf numFmtId="0" fontId="38" fillId="0" borderId="0" xfId="101" applyFont="1" applyFill="1" applyAlignment="1">
      <alignment horizontal="right" vertical="center" wrapText="1"/>
      <protection/>
    </xf>
    <xf numFmtId="0" fontId="38" fillId="0" borderId="0" xfId="101" applyFont="1" applyFill="1" applyAlignment="1">
      <alignment horizontal="center" vertical="center" wrapText="1"/>
      <protection/>
    </xf>
    <xf numFmtId="0" fontId="38" fillId="28" borderId="0" xfId="101" applyFont="1" applyFill="1">
      <alignment/>
      <protection/>
    </xf>
    <xf numFmtId="197" fontId="44" fillId="0" borderId="0" xfId="101" applyNumberFormat="1" applyFont="1" applyFill="1" applyAlignment="1">
      <alignment vertical="center"/>
      <protection/>
    </xf>
    <xf numFmtId="199" fontId="71" fillId="28" borderId="0" xfId="101" applyNumberFormat="1" applyFont="1" applyFill="1" applyBorder="1" applyAlignment="1">
      <alignment horizontal="center" vertical="center" wrapText="1"/>
      <protection/>
    </xf>
    <xf numFmtId="196" fontId="72" fillId="28" borderId="0" xfId="101" applyNumberFormat="1" applyFont="1" applyFill="1" applyBorder="1" applyAlignment="1">
      <alignment horizontal="center" vertical="center" wrapText="1"/>
      <protection/>
    </xf>
    <xf numFmtId="199" fontId="72" fillId="0" borderId="0" xfId="101" applyNumberFormat="1" applyFont="1" applyFill="1" applyBorder="1" applyAlignment="1">
      <alignment horizontal="center" vertical="center" wrapText="1"/>
      <protection/>
    </xf>
    <xf numFmtId="196" fontId="72" fillId="0" borderId="0" xfId="101" applyNumberFormat="1" applyFont="1" applyFill="1" applyBorder="1" applyAlignment="1">
      <alignment horizontal="center" vertical="center" wrapText="1"/>
      <protection/>
    </xf>
    <xf numFmtId="0" fontId="71" fillId="0" borderId="0" xfId="101" applyFont="1" applyFill="1" applyAlignment="1">
      <alignment vertical="center" wrapText="1"/>
      <protection/>
    </xf>
    <xf numFmtId="0" fontId="71" fillId="0" borderId="0" xfId="101" applyFont="1" applyFill="1">
      <alignment/>
      <protection/>
    </xf>
    <xf numFmtId="197" fontId="73" fillId="28" borderId="0" xfId="101" applyNumberFormat="1" applyFont="1" applyFill="1" applyBorder="1" applyAlignment="1">
      <alignment horizontal="center"/>
      <protection/>
    </xf>
    <xf numFmtId="197" fontId="40" fillId="28" borderId="0" xfId="101" applyNumberFormat="1" applyFont="1" applyFill="1" applyBorder="1" applyAlignment="1">
      <alignment horizontal="center"/>
      <protection/>
    </xf>
    <xf numFmtId="1" fontId="48" fillId="0" borderId="0" xfId="101" applyNumberFormat="1" applyFont="1" applyFill="1" applyAlignment="1">
      <alignment horizontal="left"/>
      <protection/>
    </xf>
    <xf numFmtId="0" fontId="48" fillId="29" borderId="0" xfId="101" applyFont="1" applyFill="1">
      <alignment/>
      <protection/>
    </xf>
    <xf numFmtId="2" fontId="48" fillId="29" borderId="0" xfId="101" applyNumberFormat="1" applyFont="1" applyFill="1">
      <alignment/>
      <protection/>
    </xf>
    <xf numFmtId="1" fontId="48" fillId="29" borderId="0" xfId="101" applyNumberFormat="1" applyFont="1" applyFill="1">
      <alignment/>
      <protection/>
    </xf>
    <xf numFmtId="197" fontId="41" fillId="28" borderId="4" xfId="101" applyNumberFormat="1" applyFont="1" applyFill="1" applyBorder="1" applyAlignment="1">
      <alignment horizontal="center" vertical="center"/>
      <protection/>
    </xf>
    <xf numFmtId="197" fontId="40" fillId="0" borderId="18" xfId="101" applyNumberFormat="1" applyFont="1" applyFill="1" applyBorder="1" applyAlignment="1">
      <alignment vertical="center"/>
      <protection/>
    </xf>
    <xf numFmtId="3" fontId="38" fillId="28" borderId="15" xfId="101" applyNumberFormat="1" applyFont="1" applyFill="1" applyBorder="1" applyAlignment="1">
      <alignment horizontal="center" vertical="center" wrapText="1"/>
      <protection/>
    </xf>
    <xf numFmtId="197" fontId="42" fillId="28" borderId="0" xfId="101" applyNumberFormat="1" applyFont="1" applyFill="1" applyAlignment="1">
      <alignment vertical="center"/>
      <protection/>
    </xf>
    <xf numFmtId="0" fontId="11" fillId="28" borderId="4" xfId="101" applyFont="1" applyFill="1" applyBorder="1" applyAlignment="1">
      <alignment horizontal="center" vertical="center"/>
      <protection/>
    </xf>
    <xf numFmtId="197" fontId="36" fillId="28" borderId="17" xfId="101" applyNumberFormat="1" applyFont="1" applyFill="1" applyBorder="1" applyAlignment="1">
      <alignment horizontal="center" vertical="center"/>
      <protection/>
    </xf>
    <xf numFmtId="197" fontId="11" fillId="28" borderId="17" xfId="101" applyNumberFormat="1" applyFont="1" applyFill="1" applyBorder="1" applyAlignment="1">
      <alignment horizontal="center" vertical="center"/>
      <protection/>
    </xf>
    <xf numFmtId="197" fontId="40" fillId="28" borderId="4" xfId="101" applyNumberFormat="1" applyFont="1" applyFill="1" applyBorder="1" applyAlignment="1">
      <alignment vertical="center"/>
      <protection/>
    </xf>
    <xf numFmtId="0" fontId="48" fillId="0" borderId="0" xfId="102" applyFont="1" applyFill="1">
      <alignment/>
      <protection/>
    </xf>
    <xf numFmtId="0" fontId="0" fillId="0" borderId="0" xfId="102" applyFont="1" applyFill="1">
      <alignment/>
      <protection/>
    </xf>
    <xf numFmtId="0" fontId="42" fillId="29" borderId="0" xfId="101" applyFont="1" applyFill="1">
      <alignment/>
      <protection/>
    </xf>
    <xf numFmtId="197" fontId="48" fillId="0" borderId="0" xfId="101" applyNumberFormat="1" applyFont="1" applyFill="1" applyAlignment="1">
      <alignment horizontal="center" vertical="center" wrapText="1"/>
      <protection/>
    </xf>
    <xf numFmtId="3" fontId="74" fillId="28" borderId="0" xfId="101" applyNumberFormat="1" applyFont="1" applyFill="1" applyBorder="1" applyAlignment="1">
      <alignment horizontal="center"/>
      <protection/>
    </xf>
    <xf numFmtId="0" fontId="42" fillId="28" borderId="0" xfId="101" applyFont="1" applyFill="1">
      <alignment/>
      <protection/>
    </xf>
    <xf numFmtId="2" fontId="40" fillId="0" borderId="0" xfId="101" applyNumberFormat="1" applyFont="1" applyFill="1" applyBorder="1" applyAlignment="1">
      <alignment horizontal="center" vertical="center" wrapText="1"/>
      <protection/>
    </xf>
    <xf numFmtId="0" fontId="42" fillId="0" borderId="0" xfId="101" applyFont="1" applyFill="1" applyAlignment="1">
      <alignment horizontal="center"/>
      <protection/>
    </xf>
    <xf numFmtId="0" fontId="75" fillId="0" borderId="0" xfId="0" applyFont="1" applyFill="1" applyAlignment="1">
      <alignment horizontal="right" vertical="center"/>
    </xf>
    <xf numFmtId="3" fontId="40" fillId="0" borderId="4" xfId="101" applyNumberFormat="1" applyFont="1" applyFill="1" applyBorder="1" applyAlignment="1">
      <alignment horizontal="justify" vertical="center" wrapText="1"/>
      <protection/>
    </xf>
    <xf numFmtId="3" fontId="40" fillId="0" borderId="4" xfId="101" applyNumberFormat="1" applyFont="1" applyFill="1" applyBorder="1" applyAlignment="1">
      <alignment vertical="center" wrapText="1"/>
      <protection/>
    </xf>
    <xf numFmtId="0" fontId="76" fillId="0" borderId="4" xfId="101" applyFont="1" applyFill="1" applyBorder="1" applyAlignment="1">
      <alignment horizontal="left" vertical="center"/>
      <protection/>
    </xf>
    <xf numFmtId="197" fontId="71" fillId="0" borderId="4" xfId="101" applyNumberFormat="1" applyFont="1" applyFill="1" applyBorder="1" applyAlignment="1">
      <alignment horizontal="center" vertical="center"/>
      <protection/>
    </xf>
    <xf numFmtId="197" fontId="71" fillId="0" borderId="24" xfId="101" applyNumberFormat="1" applyFont="1" applyFill="1" applyBorder="1" applyAlignment="1">
      <alignment horizontal="center" vertical="center"/>
      <protection/>
    </xf>
    <xf numFmtId="197" fontId="73" fillId="28" borderId="15" xfId="101" applyNumberFormat="1" applyFont="1" applyFill="1" applyBorder="1" applyAlignment="1">
      <alignment horizontal="center" vertical="center"/>
      <protection/>
    </xf>
    <xf numFmtId="197" fontId="71" fillId="28" borderId="25" xfId="101" applyNumberFormat="1" applyFont="1" applyFill="1" applyBorder="1" applyAlignment="1">
      <alignment horizontal="center" vertical="center"/>
      <protection/>
    </xf>
    <xf numFmtId="197" fontId="71" fillId="28" borderId="28" xfId="101" applyNumberFormat="1" applyFont="1" applyFill="1" applyBorder="1" applyAlignment="1">
      <alignment horizontal="center" vertical="center"/>
      <protection/>
    </xf>
    <xf numFmtId="0" fontId="75" fillId="0" borderId="0" xfId="0" applyFont="1" applyAlignment="1">
      <alignment horizontal="left" vertical="center" wrapText="1"/>
    </xf>
    <xf numFmtId="3" fontId="77" fillId="0" borderId="4" xfId="101" applyNumberFormat="1" applyFont="1" applyFill="1" applyBorder="1" applyAlignment="1">
      <alignment vertical="center"/>
      <protection/>
    </xf>
    <xf numFmtId="3" fontId="40" fillId="28" borderId="4" xfId="101" applyNumberFormat="1" applyFont="1" applyFill="1" applyBorder="1" applyAlignment="1">
      <alignment horizontal="left" vertical="center" wrapText="1"/>
      <protection/>
    </xf>
    <xf numFmtId="199" fontId="48" fillId="0" borderId="0" xfId="101" applyNumberFormat="1" applyFont="1" applyFill="1">
      <alignment/>
      <protection/>
    </xf>
    <xf numFmtId="0" fontId="56" fillId="0" borderId="4" xfId="101" applyFont="1" applyFill="1" applyBorder="1" applyAlignment="1">
      <alignment horizontal="center" vertical="center"/>
      <protection/>
    </xf>
    <xf numFmtId="198" fontId="44" fillId="0" borderId="0" xfId="101" applyNumberFormat="1" applyFont="1" applyFill="1" applyAlignment="1">
      <alignment vertical="center"/>
      <protection/>
    </xf>
    <xf numFmtId="0" fontId="55" fillId="0" borderId="0" xfId="104" applyFont="1" applyFill="1" applyAlignment="1">
      <alignment vertical="center" wrapText="1"/>
      <protection/>
    </xf>
    <xf numFmtId="199" fontId="48" fillId="0" borderId="0" xfId="101" applyNumberFormat="1" applyFont="1" applyFill="1" applyAlignment="1">
      <alignment horizontal="right" vertical="center" wrapText="1"/>
      <protection/>
    </xf>
    <xf numFmtId="197" fontId="41" fillId="28" borderId="4" xfId="102" applyNumberFormat="1" applyFont="1" applyFill="1" applyBorder="1" applyAlignment="1">
      <alignment vertical="center"/>
      <protection/>
    </xf>
    <xf numFmtId="197" fontId="42" fillId="28" borderId="0" xfId="102" applyNumberFormat="1" applyFont="1" applyFill="1" applyBorder="1" applyAlignment="1">
      <alignment horizontal="center" vertical="center" wrapText="1"/>
      <protection/>
    </xf>
    <xf numFmtId="197" fontId="42" fillId="28" borderId="0" xfId="101" applyNumberFormat="1" applyFont="1" applyFill="1" applyBorder="1" applyAlignment="1">
      <alignment horizontal="center" vertical="center" wrapText="1"/>
      <protection/>
    </xf>
    <xf numFmtId="3" fontId="42" fillId="28" borderId="0" xfId="101" applyNumberFormat="1" applyFont="1" applyFill="1" applyBorder="1" applyAlignment="1">
      <alignment horizontal="center" vertical="center" wrapText="1"/>
      <protection/>
    </xf>
    <xf numFmtId="197" fontId="40" fillId="28" borderId="0" xfId="101" applyNumberFormat="1" applyFont="1" applyFill="1" applyBorder="1" applyAlignment="1">
      <alignment horizontal="center" vertical="center" wrapText="1"/>
      <protection/>
    </xf>
    <xf numFmtId="197" fontId="42" fillId="0" borderId="23" xfId="101" applyNumberFormat="1" applyFont="1" applyFill="1" applyBorder="1" applyAlignment="1">
      <alignment vertical="center"/>
      <protection/>
    </xf>
    <xf numFmtId="197" fontId="42" fillId="28" borderId="4" xfId="103" applyNumberFormat="1" applyFont="1" applyFill="1" applyBorder="1" applyAlignment="1">
      <alignment vertical="center" wrapText="1"/>
      <protection/>
    </xf>
    <xf numFmtId="197" fontId="38" fillId="28" borderId="4" xfId="102" applyNumberFormat="1" applyFont="1" applyFill="1" applyBorder="1" applyAlignment="1">
      <alignment horizontal="center" vertical="center" wrapText="1"/>
      <protection/>
    </xf>
    <xf numFmtId="0" fontId="40" fillId="0" borderId="4" xfId="101" applyFont="1" applyFill="1" applyBorder="1" applyAlignment="1">
      <alignment horizontal="justify" vertical="center" wrapText="1"/>
      <protection/>
    </xf>
    <xf numFmtId="197" fontId="41" fillId="28" borderId="4" xfId="102" applyNumberFormat="1" applyFont="1" applyFill="1" applyBorder="1" applyAlignment="1">
      <alignment vertical="center" wrapText="1"/>
      <protection/>
    </xf>
    <xf numFmtId="197" fontId="11" fillId="0" borderId="4" xfId="101" applyNumberFormat="1" applyFont="1" applyFill="1" applyBorder="1" applyAlignment="1">
      <alignment vertical="center" wrapText="1"/>
      <protection/>
    </xf>
    <xf numFmtId="0" fontId="40" fillId="28" borderId="4" xfId="101" applyFont="1" applyFill="1" applyBorder="1" applyAlignment="1">
      <alignment horizontal="justify" vertical="center" wrapText="1"/>
      <protection/>
    </xf>
    <xf numFmtId="0" fontId="40" fillId="28" borderId="4" xfId="101" applyFont="1" applyFill="1" applyBorder="1" applyAlignment="1">
      <alignment horizontal="left" vertical="center" wrapText="1"/>
      <protection/>
    </xf>
    <xf numFmtId="3" fontId="40" fillId="28" borderId="4" xfId="101" applyNumberFormat="1" applyFont="1" applyFill="1" applyBorder="1" applyAlignment="1">
      <alignment horizontal="justify" vertical="center" wrapText="1"/>
      <protection/>
    </xf>
    <xf numFmtId="3" fontId="47" fillId="0" borderId="0" xfId="101" applyNumberFormat="1" applyFont="1" applyFill="1" applyAlignment="1">
      <alignment vertical="center"/>
      <protection/>
    </xf>
    <xf numFmtId="197" fontId="76" fillId="28" borderId="4" xfId="101" applyNumberFormat="1" applyFont="1" applyFill="1" applyBorder="1" applyAlignment="1">
      <alignment horizontal="center" vertical="center"/>
      <protection/>
    </xf>
    <xf numFmtId="197" fontId="77" fillId="28" borderId="4" xfId="101" applyNumberFormat="1" applyFont="1" applyFill="1" applyBorder="1" applyAlignment="1">
      <alignment horizontal="center" vertical="center"/>
      <protection/>
    </xf>
    <xf numFmtId="197" fontId="71" fillId="28" borderId="4" xfId="101" applyNumberFormat="1" applyFont="1" applyFill="1" applyBorder="1" applyAlignment="1">
      <alignment horizontal="center" vertical="center"/>
      <protection/>
    </xf>
    <xf numFmtId="197" fontId="77" fillId="28" borderId="18" xfId="101" applyNumberFormat="1" applyFont="1" applyFill="1" applyBorder="1" applyAlignment="1">
      <alignment horizontal="center" vertical="center"/>
      <protection/>
    </xf>
    <xf numFmtId="197" fontId="77" fillId="28" borderId="32" xfId="101" applyNumberFormat="1" applyFont="1" applyFill="1" applyBorder="1" applyAlignment="1">
      <alignment horizontal="center" vertical="center"/>
      <protection/>
    </xf>
    <xf numFmtId="197" fontId="38" fillId="28" borderId="27" xfId="101" applyNumberFormat="1" applyFont="1" applyFill="1" applyBorder="1" applyAlignment="1">
      <alignment horizontal="center" vertical="center" wrapText="1"/>
      <protection/>
    </xf>
    <xf numFmtId="197" fontId="76" fillId="28" borderId="32" xfId="101" applyNumberFormat="1" applyFont="1" applyFill="1" applyBorder="1" applyAlignment="1">
      <alignment horizontal="center" vertical="center"/>
      <protection/>
    </xf>
    <xf numFmtId="197" fontId="78" fillId="28" borderId="15" xfId="101" applyNumberFormat="1" applyFont="1" applyFill="1" applyBorder="1" applyAlignment="1">
      <alignment horizontal="center" vertical="center"/>
      <protection/>
    </xf>
    <xf numFmtId="197" fontId="78" fillId="28" borderId="4" xfId="101" applyNumberFormat="1" applyFont="1" applyFill="1" applyBorder="1" applyAlignment="1">
      <alignment horizontal="center" vertical="center"/>
      <protection/>
    </xf>
    <xf numFmtId="200" fontId="42" fillId="0" borderId="0" xfId="101" applyNumberFormat="1" applyFont="1" applyFill="1" applyAlignment="1">
      <alignment vertical="center"/>
      <protection/>
    </xf>
    <xf numFmtId="0" fontId="75" fillId="0" borderId="0" xfId="0" applyFont="1" applyAlignment="1">
      <alignment horizontal="left" vertical="center" wrapText="1"/>
    </xf>
    <xf numFmtId="3" fontId="38" fillId="29" borderId="4" xfId="101" applyNumberFormat="1" applyFont="1" applyFill="1" applyBorder="1" applyAlignment="1">
      <alignment horizontal="center" vertical="center" wrapText="1"/>
      <protection/>
    </xf>
    <xf numFmtId="196" fontId="36" fillId="28" borderId="15" xfId="101" applyNumberFormat="1" applyFont="1" applyFill="1" applyBorder="1" applyAlignment="1">
      <alignment horizontal="center" vertical="center"/>
      <protection/>
    </xf>
    <xf numFmtId="196" fontId="36" fillId="28" borderId="16" xfId="101" applyNumberFormat="1" applyFont="1" applyFill="1" applyBorder="1" applyAlignment="1">
      <alignment horizontal="center" vertical="center"/>
      <protection/>
    </xf>
    <xf numFmtId="197" fontId="40" fillId="0" borderId="27" xfId="101" applyNumberFormat="1" applyFont="1" applyFill="1" applyBorder="1" applyAlignment="1">
      <alignment vertical="center" wrapText="1"/>
      <protection/>
    </xf>
    <xf numFmtId="199" fontId="43" fillId="30" borderId="4" xfId="102" applyNumberFormat="1" applyFont="1" applyFill="1" applyBorder="1" applyAlignment="1">
      <alignment horizontal="center" vertical="center" wrapText="1"/>
      <protection/>
    </xf>
    <xf numFmtId="0" fontId="38" fillId="28" borderId="4" xfId="101" applyFont="1" applyFill="1" applyBorder="1" applyAlignment="1">
      <alignment horizontal="center" vertical="center"/>
      <protection/>
    </xf>
    <xf numFmtId="4" fontId="38" fillId="28" borderId="4" xfId="101" applyNumberFormat="1" applyFont="1" applyFill="1" applyBorder="1" applyAlignment="1">
      <alignment horizontal="center" vertical="center" wrapText="1"/>
      <protection/>
    </xf>
    <xf numFmtId="199" fontId="48" fillId="29" borderId="0" xfId="101" applyNumberFormat="1" applyFont="1" applyFill="1" applyAlignment="1">
      <alignment vertical="center" wrapText="1"/>
      <protection/>
    </xf>
    <xf numFmtId="199" fontId="48" fillId="0" borderId="0" xfId="101" applyNumberFormat="1" applyFont="1" applyFill="1" applyAlignment="1">
      <alignment horizontal="center"/>
      <protection/>
    </xf>
    <xf numFmtId="199" fontId="48" fillId="29" borderId="0" xfId="101" applyNumberFormat="1" applyFont="1" applyFill="1" applyAlignment="1">
      <alignment horizontal="center"/>
      <protection/>
    </xf>
    <xf numFmtId="199" fontId="48" fillId="29" borderId="0" xfId="101" applyNumberFormat="1" applyFont="1" applyFill="1">
      <alignment/>
      <protection/>
    </xf>
    <xf numFmtId="199" fontId="48" fillId="0" borderId="0" xfId="101" applyNumberFormat="1" applyFont="1" applyFill="1" applyAlignment="1">
      <alignment horizontal="center" vertical="center" wrapText="1"/>
      <protection/>
    </xf>
    <xf numFmtId="0" fontId="32" fillId="0" borderId="0" xfId="101" applyFont="1" applyFill="1" applyAlignment="1">
      <alignment horizontal="center" vertical="center" wrapText="1"/>
      <protection/>
    </xf>
    <xf numFmtId="0" fontId="32" fillId="0" borderId="0" xfId="101" applyFont="1" applyFill="1" applyBorder="1" applyAlignment="1">
      <alignment horizontal="center" vertical="center" wrapText="1"/>
      <protection/>
    </xf>
    <xf numFmtId="0" fontId="54" fillId="0" borderId="0" xfId="101" applyFont="1" applyFill="1" applyAlignment="1">
      <alignment horizontal="center" vertical="center" wrapText="1"/>
      <protection/>
    </xf>
    <xf numFmtId="0" fontId="54" fillId="0" borderId="0" xfId="101" applyFont="1" applyFill="1" applyBorder="1" applyAlignment="1">
      <alignment horizontal="center" vertical="center" wrapText="1"/>
      <protection/>
    </xf>
    <xf numFmtId="0" fontId="56" fillId="25" borderId="0" xfId="101" applyFont="1" applyFill="1" applyBorder="1" applyAlignment="1">
      <alignment horizontal="center" vertical="center" wrapText="1"/>
      <protection/>
    </xf>
    <xf numFmtId="196" fontId="36" fillId="0" borderId="0" xfId="101" applyNumberFormat="1" applyFont="1" applyFill="1" applyBorder="1" applyAlignment="1">
      <alignment horizontal="center" vertical="center"/>
      <protection/>
    </xf>
    <xf numFmtId="3" fontId="79" fillId="0" borderId="4" xfId="101" applyNumberFormat="1" applyFont="1" applyFill="1" applyBorder="1" applyAlignment="1">
      <alignment horizontal="center" vertical="center" wrapText="1"/>
      <protection/>
    </xf>
    <xf numFmtId="197" fontId="42" fillId="0" borderId="30" xfId="101" applyNumberFormat="1" applyFont="1" applyFill="1" applyBorder="1" applyAlignment="1">
      <alignment horizontal="center" vertical="center" wrapText="1"/>
      <protection/>
    </xf>
    <xf numFmtId="197" fontId="44" fillId="0" borderId="30" xfId="101" applyNumberFormat="1" applyFont="1" applyFill="1" applyBorder="1" applyAlignment="1">
      <alignment horizontal="center" vertical="center" wrapText="1"/>
      <protection/>
    </xf>
    <xf numFmtId="197" fontId="38" fillId="31" borderId="4" xfId="101" applyNumberFormat="1" applyFont="1" applyFill="1" applyBorder="1" applyAlignment="1">
      <alignment horizontal="center" vertical="center" wrapText="1"/>
      <protection/>
    </xf>
    <xf numFmtId="197" fontId="42" fillId="31" borderId="4" xfId="101" applyNumberFormat="1" applyFont="1" applyFill="1" applyBorder="1" applyAlignment="1">
      <alignment horizontal="center" vertical="center" wrapText="1"/>
      <protection/>
    </xf>
    <xf numFmtId="183" fontId="42" fillId="0" borderId="4" xfId="0" applyNumberFormat="1" applyFont="1" applyBorder="1" applyAlignment="1">
      <alignment horizontal="center" vertical="center" wrapText="1"/>
    </xf>
    <xf numFmtId="0" fontId="34" fillId="25" borderId="33" xfId="101" applyFont="1" applyFill="1" applyBorder="1" applyAlignment="1">
      <alignment horizontal="center" vertical="center" wrapText="1"/>
      <protection/>
    </xf>
    <xf numFmtId="0" fontId="34" fillId="25" borderId="23" xfId="101" applyFont="1" applyFill="1" applyBorder="1" applyAlignment="1">
      <alignment horizontal="center" vertical="center" wrapText="1"/>
      <protection/>
    </xf>
    <xf numFmtId="0" fontId="34" fillId="25" borderId="30" xfId="101" applyFont="1" applyFill="1" applyBorder="1" applyAlignment="1">
      <alignment horizontal="center" vertical="center" wrapText="1"/>
      <protection/>
    </xf>
    <xf numFmtId="3" fontId="56" fillId="0" borderId="4" xfId="0" applyNumberFormat="1" applyFont="1" applyBorder="1" applyAlignment="1">
      <alignment horizontal="center" vertical="center" wrapText="1"/>
    </xf>
    <xf numFmtId="197" fontId="36" fillId="29" borderId="17" xfId="101" applyNumberFormat="1" applyFont="1" applyFill="1" applyBorder="1" applyAlignment="1">
      <alignment horizontal="center" vertical="center"/>
      <protection/>
    </xf>
    <xf numFmtId="197" fontId="40" fillId="29" borderId="4" xfId="101" applyNumberFormat="1" applyFont="1" applyFill="1" applyBorder="1" applyAlignment="1">
      <alignment vertical="center"/>
      <protection/>
    </xf>
    <xf numFmtId="0" fontId="11" fillId="29" borderId="4" xfId="101" applyFont="1" applyFill="1" applyBorder="1" applyAlignment="1">
      <alignment horizontal="center" vertical="center"/>
      <protection/>
    </xf>
    <xf numFmtId="3" fontId="56" fillId="29" borderId="4" xfId="0" applyNumberFormat="1" applyFont="1" applyFill="1" applyBorder="1" applyAlignment="1">
      <alignment horizontal="center" vertical="center" wrapText="1"/>
    </xf>
    <xf numFmtId="3" fontId="40" fillId="29" borderId="4" xfId="101" applyNumberFormat="1" applyFont="1" applyFill="1" applyBorder="1" applyAlignment="1">
      <alignment horizontal="center" vertical="center" wrapText="1"/>
      <protection/>
    </xf>
    <xf numFmtId="197" fontId="38" fillId="29" borderId="15" xfId="101" applyNumberFormat="1" applyFont="1" applyFill="1" applyBorder="1" applyAlignment="1">
      <alignment horizontal="center" vertical="center" wrapText="1"/>
      <protection/>
    </xf>
    <xf numFmtId="197" fontId="38" fillId="29" borderId="4" xfId="101" applyNumberFormat="1" applyFont="1" applyFill="1" applyBorder="1" applyAlignment="1">
      <alignment horizontal="center" vertical="center" wrapText="1"/>
      <protection/>
    </xf>
    <xf numFmtId="197" fontId="36" fillId="29" borderId="15" xfId="101" applyNumberFormat="1" applyFont="1" applyFill="1" applyBorder="1" applyAlignment="1">
      <alignment horizontal="center" vertical="center"/>
      <protection/>
    </xf>
    <xf numFmtId="196" fontId="36" fillId="29" borderId="16" xfId="101" applyNumberFormat="1" applyFont="1" applyFill="1" applyBorder="1" applyAlignment="1">
      <alignment horizontal="center" vertical="center"/>
      <protection/>
    </xf>
    <xf numFmtId="197" fontId="11" fillId="29" borderId="17" xfId="101" applyNumberFormat="1" applyFont="1" applyFill="1" applyBorder="1" applyAlignment="1">
      <alignment horizontal="center" vertical="center"/>
      <protection/>
    </xf>
    <xf numFmtId="197" fontId="40" fillId="29" borderId="4" xfId="101" applyNumberFormat="1" applyFont="1" applyFill="1" applyBorder="1" applyAlignment="1">
      <alignment vertical="center"/>
      <protection/>
    </xf>
    <xf numFmtId="197" fontId="40" fillId="29" borderId="4" xfId="101" applyNumberFormat="1" applyFont="1" applyFill="1" applyBorder="1" applyAlignment="1">
      <alignment horizontal="center" vertical="center"/>
      <protection/>
    </xf>
    <xf numFmtId="197" fontId="40" fillId="0" borderId="15" xfId="101" applyNumberFormat="1" applyFont="1" applyFill="1" applyBorder="1" applyAlignment="1">
      <alignment horizontal="center" vertical="center"/>
      <protection/>
    </xf>
    <xf numFmtId="197" fontId="42" fillId="0" borderId="15" xfId="101" applyNumberFormat="1" applyFont="1" applyFill="1" applyBorder="1" applyAlignment="1">
      <alignment horizontal="center" vertical="center"/>
      <protection/>
    </xf>
    <xf numFmtId="0" fontId="34" fillId="25" borderId="0" xfId="101" applyFont="1" applyFill="1" applyBorder="1" applyAlignment="1">
      <alignment horizontal="center" vertical="center" wrapText="1"/>
      <protection/>
    </xf>
    <xf numFmtId="197" fontId="38" fillId="25" borderId="0" xfId="101" applyNumberFormat="1" applyFont="1" applyFill="1" applyBorder="1" applyAlignment="1">
      <alignment horizontal="center" vertical="center" wrapText="1"/>
      <protection/>
    </xf>
    <xf numFmtId="197" fontId="44" fillId="25" borderId="0" xfId="101" applyNumberFormat="1" applyFont="1" applyFill="1" applyBorder="1" applyAlignment="1">
      <alignment horizontal="center" vertical="center" wrapText="1"/>
      <protection/>
    </xf>
    <xf numFmtId="197" fontId="44" fillId="25" borderId="0" xfId="101" applyNumberFormat="1" applyFont="1" applyFill="1" applyBorder="1" applyAlignment="1">
      <alignment horizontal="center" vertical="center"/>
      <protection/>
    </xf>
    <xf numFmtId="199" fontId="44" fillId="25" borderId="0" xfId="101" applyNumberFormat="1" applyFont="1" applyFill="1" applyBorder="1" applyAlignment="1">
      <alignment horizontal="center" vertical="center" wrapText="1"/>
      <protection/>
    </xf>
    <xf numFmtId="197" fontId="44" fillId="27" borderId="0" xfId="101" applyNumberFormat="1" applyFont="1" applyFill="1" applyBorder="1" applyAlignment="1">
      <alignment horizontal="center" vertical="center"/>
      <protection/>
    </xf>
    <xf numFmtId="197" fontId="36" fillId="32" borderId="17" xfId="101" applyNumberFormat="1" applyFont="1" applyFill="1" applyBorder="1" applyAlignment="1">
      <alignment horizontal="center" vertical="center"/>
      <protection/>
    </xf>
    <xf numFmtId="197" fontId="40" fillId="32" borderId="4" xfId="101" applyNumberFormat="1" applyFont="1" applyFill="1" applyBorder="1" applyAlignment="1">
      <alignment vertical="center"/>
      <protection/>
    </xf>
    <xf numFmtId="0" fontId="11" fillId="32" borderId="4" xfId="101" applyFont="1" applyFill="1" applyBorder="1" applyAlignment="1">
      <alignment horizontal="center" vertical="center"/>
      <protection/>
    </xf>
    <xf numFmtId="3" fontId="56" fillId="32" borderId="4" xfId="0" applyNumberFormat="1" applyFont="1" applyFill="1" applyBorder="1" applyAlignment="1">
      <alignment horizontal="center" vertical="center" wrapText="1"/>
    </xf>
    <xf numFmtId="3" fontId="40" fillId="32" borderId="4" xfId="101" applyNumberFormat="1" applyFont="1" applyFill="1" applyBorder="1" applyAlignment="1">
      <alignment horizontal="center" vertical="center" wrapText="1"/>
      <protection/>
    </xf>
    <xf numFmtId="197" fontId="38" fillId="32" borderId="15" xfId="101" applyNumberFormat="1" applyFont="1" applyFill="1" applyBorder="1" applyAlignment="1">
      <alignment horizontal="center" vertical="center" wrapText="1"/>
      <protection/>
    </xf>
    <xf numFmtId="197" fontId="38" fillId="32" borderId="4" xfId="101" applyNumberFormat="1" applyFont="1" applyFill="1" applyBorder="1" applyAlignment="1">
      <alignment horizontal="center" vertical="center" wrapText="1"/>
      <protection/>
    </xf>
    <xf numFmtId="197" fontId="36" fillId="32" borderId="15" xfId="101" applyNumberFormat="1" applyFont="1" applyFill="1" applyBorder="1" applyAlignment="1">
      <alignment horizontal="center" vertical="center"/>
      <protection/>
    </xf>
    <xf numFmtId="196" fontId="36" fillId="32" borderId="16" xfId="101" applyNumberFormat="1" applyFont="1" applyFill="1" applyBorder="1" applyAlignment="1">
      <alignment horizontal="center" vertical="center"/>
      <protection/>
    </xf>
    <xf numFmtId="196" fontId="36" fillId="32" borderId="0" xfId="101" applyNumberFormat="1" applyFont="1" applyFill="1" applyBorder="1" applyAlignment="1">
      <alignment horizontal="center" vertical="center"/>
      <protection/>
    </xf>
    <xf numFmtId="197" fontId="42" fillId="32" borderId="0" xfId="101" applyNumberFormat="1" applyFont="1" applyFill="1" applyAlignment="1">
      <alignment vertical="center"/>
      <protection/>
    </xf>
    <xf numFmtId="3" fontId="39" fillId="32" borderId="0" xfId="101" applyNumberFormat="1" applyFont="1" applyFill="1" applyAlignment="1">
      <alignment vertical="center"/>
      <protection/>
    </xf>
    <xf numFmtId="197" fontId="11" fillId="32" borderId="17" xfId="101" applyNumberFormat="1" applyFont="1" applyFill="1" applyBorder="1" applyAlignment="1">
      <alignment horizontal="center" vertical="center"/>
      <protection/>
    </xf>
    <xf numFmtId="197" fontId="40" fillId="32" borderId="4" xfId="101" applyNumberFormat="1" applyFont="1" applyFill="1" applyBorder="1" applyAlignment="1">
      <alignment vertical="center"/>
      <protection/>
    </xf>
    <xf numFmtId="197" fontId="40" fillId="32" borderId="4" xfId="101" applyNumberFormat="1" applyFont="1" applyFill="1" applyBorder="1" applyAlignment="1">
      <alignment horizontal="center" vertical="center"/>
      <protection/>
    </xf>
    <xf numFmtId="0" fontId="36" fillId="32" borderId="4" xfId="101" applyFont="1" applyFill="1" applyBorder="1" applyAlignment="1">
      <alignment vertical="center"/>
      <protection/>
    </xf>
    <xf numFmtId="0" fontId="36" fillId="32" borderId="4" xfId="101" applyFont="1" applyFill="1" applyBorder="1" applyAlignment="1">
      <alignment horizontal="center" vertical="center"/>
      <protection/>
    </xf>
    <xf numFmtId="3" fontId="38" fillId="32" borderId="4" xfId="101" applyNumberFormat="1" applyFont="1" applyFill="1" applyBorder="1" applyAlignment="1">
      <alignment horizontal="center" vertical="center" wrapText="1"/>
      <protection/>
    </xf>
    <xf numFmtId="0" fontId="39" fillId="32" borderId="0" xfId="101" applyFont="1" applyFill="1" applyAlignment="1">
      <alignment vertical="center"/>
      <protection/>
    </xf>
    <xf numFmtId="197" fontId="11" fillId="32" borderId="4" xfId="101" applyNumberFormat="1" applyFont="1" applyFill="1" applyBorder="1" applyAlignment="1">
      <alignment vertical="center"/>
      <protection/>
    </xf>
    <xf numFmtId="197" fontId="39" fillId="32" borderId="0" xfId="101" applyNumberFormat="1" applyFont="1" applyFill="1" applyAlignment="1">
      <alignment vertical="center"/>
      <protection/>
    </xf>
    <xf numFmtId="197" fontId="11" fillId="32" borderId="4" xfId="101" applyNumberFormat="1" applyFont="1" applyFill="1" applyBorder="1" applyAlignment="1">
      <alignment vertical="center" wrapText="1"/>
      <protection/>
    </xf>
    <xf numFmtId="196" fontId="38" fillId="0" borderId="4" xfId="101" applyNumberFormat="1" applyFont="1" applyFill="1" applyBorder="1" applyAlignment="1">
      <alignment horizontal="center" vertical="center" wrapText="1"/>
      <protection/>
    </xf>
    <xf numFmtId="197" fontId="42" fillId="0" borderId="0" xfId="101" applyNumberFormat="1" applyFont="1" applyFill="1" applyAlignment="1">
      <alignment horizontal="center" vertical="center" wrapText="1"/>
      <protection/>
    </xf>
    <xf numFmtId="0" fontId="56" fillId="25" borderId="32" xfId="101" applyFont="1" applyFill="1" applyBorder="1" applyAlignment="1">
      <alignment horizontal="center" vertical="center" wrapText="1"/>
      <protection/>
    </xf>
    <xf numFmtId="0" fontId="56" fillId="25" borderId="4" xfId="101" applyFont="1" applyFill="1" applyBorder="1" applyAlignment="1">
      <alignment horizontal="center" vertical="center" wrapText="1"/>
      <protection/>
    </xf>
    <xf numFmtId="0" fontId="56" fillId="25" borderId="18" xfId="101" applyFont="1" applyFill="1" applyBorder="1" applyAlignment="1">
      <alignment horizontal="center" vertical="center" wrapText="1"/>
      <protection/>
    </xf>
    <xf numFmtId="0" fontId="56" fillId="25" borderId="33" xfId="101" applyFont="1" applyFill="1" applyBorder="1" applyAlignment="1">
      <alignment horizontal="center" vertical="center" wrapText="1"/>
      <protection/>
    </xf>
    <xf numFmtId="0" fontId="56" fillId="25" borderId="23" xfId="101" applyFont="1" applyFill="1" applyBorder="1" applyAlignment="1">
      <alignment horizontal="center" vertical="center" wrapText="1"/>
      <protection/>
    </xf>
    <xf numFmtId="0" fontId="56" fillId="25" borderId="30" xfId="101" applyFont="1" applyFill="1" applyBorder="1" applyAlignment="1">
      <alignment horizontal="center" vertical="center" wrapText="1"/>
      <protection/>
    </xf>
    <xf numFmtId="0" fontId="56" fillId="25" borderId="34" xfId="101" applyFont="1" applyFill="1" applyBorder="1" applyAlignment="1">
      <alignment horizontal="center" vertical="center" wrapText="1"/>
      <protection/>
    </xf>
    <xf numFmtId="0" fontId="56" fillId="25" borderId="35" xfId="101" applyFont="1" applyFill="1" applyBorder="1" applyAlignment="1">
      <alignment horizontal="center" vertical="center" wrapText="1"/>
      <protection/>
    </xf>
    <xf numFmtId="0" fontId="54" fillId="0" borderId="0" xfId="101" applyFont="1" applyFill="1" applyAlignment="1">
      <alignment horizontal="center" vertical="center" wrapText="1"/>
      <protection/>
    </xf>
    <xf numFmtId="0" fontId="54" fillId="0" borderId="0" xfId="101" applyFont="1" applyFill="1" applyBorder="1" applyAlignment="1">
      <alignment horizontal="center" vertical="center" wrapText="1"/>
      <protection/>
    </xf>
    <xf numFmtId="0" fontId="42" fillId="0" borderId="0" xfId="101" applyFont="1" applyFill="1" applyBorder="1" applyAlignment="1">
      <alignment horizontal="right"/>
      <protection/>
    </xf>
    <xf numFmtId="0" fontId="56" fillId="25" borderId="31" xfId="101" applyFont="1" applyFill="1" applyBorder="1" applyAlignment="1">
      <alignment horizontal="center" vertical="center"/>
      <protection/>
    </xf>
    <xf numFmtId="0" fontId="56" fillId="25" borderId="17" xfId="101" applyFont="1" applyFill="1" applyBorder="1" applyAlignment="1">
      <alignment horizontal="center" vertical="center"/>
      <protection/>
    </xf>
    <xf numFmtId="0" fontId="56" fillId="25" borderId="21" xfId="101" applyFont="1" applyFill="1" applyBorder="1" applyAlignment="1">
      <alignment horizontal="center" vertical="center"/>
      <protection/>
    </xf>
    <xf numFmtId="0" fontId="56" fillId="25" borderId="32" xfId="101" applyFont="1" applyFill="1" applyBorder="1" applyAlignment="1">
      <alignment horizontal="center" vertical="center"/>
      <protection/>
    </xf>
    <xf numFmtId="0" fontId="56" fillId="25" borderId="4" xfId="101" applyFont="1" applyFill="1" applyBorder="1" applyAlignment="1">
      <alignment horizontal="center" vertical="center"/>
      <protection/>
    </xf>
    <xf numFmtId="0" fontId="56" fillId="25" borderId="18" xfId="101" applyFont="1" applyFill="1" applyBorder="1" applyAlignment="1">
      <alignment horizontal="center" vertical="center"/>
      <protection/>
    </xf>
    <xf numFmtId="0" fontId="38" fillId="0" borderId="0" xfId="101" applyFont="1" applyFill="1" applyAlignment="1">
      <alignment horizontal="left" vertical="center" wrapText="1"/>
      <protection/>
    </xf>
    <xf numFmtId="0" fontId="38" fillId="0" borderId="0" xfId="101" applyFont="1" applyFill="1" applyAlignment="1">
      <alignment horizontal="right" vertical="center" wrapText="1"/>
      <protection/>
    </xf>
    <xf numFmtId="0" fontId="56" fillId="25" borderId="36" xfId="101" applyFont="1" applyFill="1" applyBorder="1" applyAlignment="1">
      <alignment horizontal="center" vertical="center" wrapText="1"/>
      <protection/>
    </xf>
    <xf numFmtId="0" fontId="56" fillId="25" borderId="37" xfId="101" applyFont="1" applyFill="1" applyBorder="1" applyAlignment="1">
      <alignment horizontal="center" vertical="center" wrapText="1"/>
      <protection/>
    </xf>
    <xf numFmtId="0" fontId="56" fillId="25" borderId="38" xfId="101" applyFont="1" applyFill="1" applyBorder="1" applyAlignment="1">
      <alignment horizontal="center" vertical="center" wrapText="1"/>
      <protection/>
    </xf>
    <xf numFmtId="0" fontId="56" fillId="25" borderId="39" xfId="101" applyFont="1" applyFill="1" applyBorder="1" applyAlignment="1">
      <alignment horizontal="center" vertical="center" wrapText="1"/>
      <protection/>
    </xf>
    <xf numFmtId="0" fontId="49" fillId="0" borderId="0" xfId="101" applyFont="1" applyFill="1" applyAlignment="1">
      <alignment horizontal="left"/>
      <protection/>
    </xf>
    <xf numFmtId="0" fontId="48" fillId="0" borderId="0" xfId="101" applyFont="1" applyFill="1" applyAlignment="1">
      <alignment horizontal="right" vertical="center" wrapText="1"/>
      <protection/>
    </xf>
    <xf numFmtId="0" fontId="48" fillId="0" borderId="0" xfId="101" applyFont="1" applyFill="1" applyAlignment="1">
      <alignment horizontal="left" vertical="center" wrapText="1"/>
      <protection/>
    </xf>
    <xf numFmtId="1" fontId="48" fillId="0" borderId="0" xfId="101" applyNumberFormat="1" applyFont="1" applyFill="1" applyAlignment="1">
      <alignment horizontal="left"/>
      <protection/>
    </xf>
    <xf numFmtId="0" fontId="48" fillId="0" borderId="0" xfId="101" applyFont="1" applyFill="1" applyAlignment="1">
      <alignment horizontal="center" vertical="center" wrapText="1"/>
      <protection/>
    </xf>
    <xf numFmtId="0" fontId="34" fillId="25" borderId="33" xfId="101" applyFont="1" applyFill="1" applyBorder="1" applyAlignment="1">
      <alignment horizontal="center" vertical="center" wrapText="1"/>
      <protection/>
    </xf>
    <xf numFmtId="0" fontId="34" fillId="25" borderId="23" xfId="101" applyFont="1" applyFill="1" applyBorder="1" applyAlignment="1">
      <alignment horizontal="center" vertical="center" wrapText="1"/>
      <protection/>
    </xf>
    <xf numFmtId="0" fontId="34" fillId="25" borderId="30" xfId="101" applyFont="1" applyFill="1" applyBorder="1" applyAlignment="1">
      <alignment horizontal="center" vertical="center" wrapText="1"/>
      <protection/>
    </xf>
    <xf numFmtId="0" fontId="34" fillId="25" borderId="32" xfId="101" applyFont="1" applyFill="1" applyBorder="1" applyAlignment="1">
      <alignment horizontal="center" vertical="center" wrapText="1"/>
      <protection/>
    </xf>
    <xf numFmtId="0" fontId="34" fillId="25" borderId="4" xfId="101" applyFont="1" applyFill="1" applyBorder="1" applyAlignment="1">
      <alignment horizontal="center" vertical="center" wrapText="1"/>
      <protection/>
    </xf>
    <xf numFmtId="0" fontId="34" fillId="25" borderId="18" xfId="101" applyFont="1" applyFill="1" applyBorder="1" applyAlignment="1">
      <alignment horizontal="center" vertical="center" wrapText="1"/>
      <protection/>
    </xf>
    <xf numFmtId="0" fontId="34" fillId="25" borderId="38" xfId="101" applyFont="1" applyFill="1" applyBorder="1" applyAlignment="1">
      <alignment horizontal="center" vertical="center" wrapText="1"/>
      <protection/>
    </xf>
    <xf numFmtId="0" fontId="34" fillId="25" borderId="39" xfId="101" applyFont="1" applyFill="1" applyBorder="1" applyAlignment="1">
      <alignment horizontal="center" vertical="center" wrapText="1"/>
      <protection/>
    </xf>
    <xf numFmtId="0" fontId="34" fillId="25" borderId="34" xfId="101" applyFont="1" applyFill="1" applyBorder="1" applyAlignment="1">
      <alignment horizontal="center" vertical="center" wrapText="1"/>
      <protection/>
    </xf>
    <xf numFmtId="0" fontId="34" fillId="25" borderId="35" xfId="101" applyFont="1" applyFill="1" applyBorder="1" applyAlignment="1">
      <alignment horizontal="center" vertical="center" wrapText="1"/>
      <protection/>
    </xf>
    <xf numFmtId="0" fontId="32" fillId="0" borderId="0" xfId="101" applyFont="1" applyFill="1" applyAlignment="1">
      <alignment horizontal="center" vertical="center" wrapText="1"/>
      <protection/>
    </xf>
    <xf numFmtId="0" fontId="32" fillId="0" borderId="0" xfId="101" applyFont="1" applyFill="1" applyBorder="1" applyAlignment="1">
      <alignment horizontal="center" vertical="center" wrapText="1"/>
      <protection/>
    </xf>
    <xf numFmtId="0" fontId="33" fillId="0" borderId="0" xfId="101" applyFont="1" applyFill="1" applyBorder="1" applyAlignment="1">
      <alignment horizontal="right"/>
      <protection/>
    </xf>
    <xf numFmtId="0" fontId="34" fillId="25" borderId="36" xfId="101" applyFont="1" applyFill="1" applyBorder="1" applyAlignment="1">
      <alignment horizontal="center" vertical="center" wrapText="1"/>
      <protection/>
    </xf>
    <xf numFmtId="0" fontId="34" fillId="25" borderId="37" xfId="101" applyFont="1" applyFill="1" applyBorder="1" applyAlignment="1">
      <alignment horizontal="center" vertical="center" wrapText="1"/>
      <protection/>
    </xf>
    <xf numFmtId="0" fontId="34" fillId="25" borderId="31" xfId="101" applyFont="1" applyFill="1" applyBorder="1" applyAlignment="1">
      <alignment horizontal="center" vertical="center"/>
      <protection/>
    </xf>
    <xf numFmtId="0" fontId="34" fillId="25" borderId="17" xfId="101" applyFont="1" applyFill="1" applyBorder="1" applyAlignment="1">
      <alignment horizontal="center" vertical="center"/>
      <protection/>
    </xf>
    <xf numFmtId="0" fontId="34" fillId="25" borderId="21" xfId="101" applyFont="1" applyFill="1" applyBorder="1" applyAlignment="1">
      <alignment horizontal="center" vertical="center"/>
      <protection/>
    </xf>
    <xf numFmtId="0" fontId="34" fillId="25" borderId="32" xfId="101" applyFont="1" applyFill="1" applyBorder="1" applyAlignment="1">
      <alignment horizontal="center" vertical="center"/>
      <protection/>
    </xf>
    <xf numFmtId="0" fontId="34" fillId="25" borderId="4" xfId="101" applyFont="1" applyFill="1" applyBorder="1" applyAlignment="1">
      <alignment horizontal="center" vertical="center"/>
      <protection/>
    </xf>
    <xf numFmtId="0" fontId="34" fillId="25" borderId="18" xfId="101" applyFont="1" applyFill="1" applyBorder="1" applyAlignment="1">
      <alignment horizontal="center" vertical="center"/>
      <protection/>
    </xf>
    <xf numFmtId="199" fontId="34" fillId="25" borderId="33" xfId="101" applyNumberFormat="1" applyFont="1" applyFill="1" applyBorder="1" applyAlignment="1">
      <alignment horizontal="center" vertical="center" wrapText="1"/>
      <protection/>
    </xf>
    <xf numFmtId="199" fontId="34" fillId="25" borderId="23" xfId="101" applyNumberFormat="1" applyFont="1" applyFill="1" applyBorder="1" applyAlignment="1">
      <alignment horizontal="center" vertical="center" wrapText="1"/>
      <protection/>
    </xf>
    <xf numFmtId="199" fontId="34" fillId="25" borderId="30" xfId="101" applyNumberFormat="1" applyFont="1" applyFill="1" applyBorder="1" applyAlignment="1">
      <alignment horizontal="center" vertical="center" wrapText="1"/>
      <protection/>
    </xf>
    <xf numFmtId="199" fontId="33" fillId="0" borderId="0" xfId="101" applyNumberFormat="1" applyFont="1" applyFill="1" applyBorder="1" applyAlignment="1">
      <alignment horizontal="right"/>
      <protection/>
    </xf>
    <xf numFmtId="199" fontId="34" fillId="25" borderId="32" xfId="101" applyNumberFormat="1" applyFont="1" applyFill="1" applyBorder="1" applyAlignment="1">
      <alignment horizontal="center" vertical="center" wrapText="1"/>
      <protection/>
    </xf>
    <xf numFmtId="199" fontId="34" fillId="25" borderId="4" xfId="101" applyNumberFormat="1" applyFont="1" applyFill="1" applyBorder="1" applyAlignment="1">
      <alignment horizontal="center" vertical="center" wrapText="1"/>
      <protection/>
    </xf>
    <xf numFmtId="199" fontId="34" fillId="25" borderId="18" xfId="101" applyNumberFormat="1" applyFont="1" applyFill="1" applyBorder="1" applyAlignment="1">
      <alignment horizontal="center" vertical="center" wrapText="1"/>
      <protection/>
    </xf>
    <xf numFmtId="197" fontId="42" fillId="0" borderId="0" xfId="101" applyNumberFormat="1" applyFont="1" applyFill="1" applyAlignment="1">
      <alignment horizontal="center" vertical="center" wrapText="1"/>
      <protection/>
    </xf>
    <xf numFmtId="1" fontId="48" fillId="29" borderId="0" xfId="101" applyNumberFormat="1" applyFont="1" applyFill="1" applyAlignment="1">
      <alignment horizontal="left"/>
      <protection/>
    </xf>
    <xf numFmtId="0" fontId="40" fillId="0" borderId="40" xfId="101" applyFont="1" applyFill="1" applyBorder="1" applyAlignment="1">
      <alignment horizontal="left" vertical="center" wrapText="1"/>
      <protection/>
    </xf>
    <xf numFmtId="0" fontId="38" fillId="30" borderId="4" xfId="101" applyFont="1" applyFill="1" applyBorder="1" applyAlignment="1">
      <alignment horizontal="center" vertical="center" wrapText="1"/>
      <protection/>
    </xf>
    <xf numFmtId="0" fontId="40" fillId="0" borderId="0" xfId="101" applyFont="1" applyFill="1" applyBorder="1" applyAlignment="1">
      <alignment horizontal="left" vertical="center" wrapText="1"/>
      <protection/>
    </xf>
    <xf numFmtId="0" fontId="40" fillId="0" borderId="0" xfId="101" applyFont="1" applyFill="1" applyAlignment="1">
      <alignment horizontal="left"/>
      <protection/>
    </xf>
    <xf numFmtId="0" fontId="40" fillId="0" borderId="0" xfId="101" applyFont="1" applyFill="1" applyAlignment="1">
      <alignment horizontal="right"/>
      <protection/>
    </xf>
    <xf numFmtId="0" fontId="75" fillId="0" borderId="0" xfId="0" applyFont="1" applyAlignment="1">
      <alignment horizontal="left" vertical="center" wrapText="1"/>
    </xf>
    <xf numFmtId="0" fontId="52" fillId="0" borderId="0" xfId="102" applyFont="1" applyFill="1" applyAlignment="1">
      <alignment horizontal="center" vertical="center" wrapText="1"/>
      <protection/>
    </xf>
    <xf numFmtId="0" fontId="60" fillId="0" borderId="0" xfId="102" applyFont="1" applyFill="1" applyBorder="1" applyAlignment="1">
      <alignment horizontal="left" wrapText="1"/>
      <protection/>
    </xf>
  </cellXfs>
  <cellStyles count="106">
    <cellStyle name="Normal" xfId="0"/>
    <cellStyle name="RowLevel_0" xfId="1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 Currency (0)" xfId="33"/>
    <cellStyle name="Calc Currency (2)" xfId="34"/>
    <cellStyle name="Calc Percent (0)" xfId="35"/>
    <cellStyle name="Calc Percent (1)" xfId="36"/>
    <cellStyle name="Calc Percent (2)" xfId="37"/>
    <cellStyle name="Calc Units (0)" xfId="38"/>
    <cellStyle name="Calc Units (1)" xfId="39"/>
    <cellStyle name="Calc Units (2)" xfId="40"/>
    <cellStyle name="Comma [0]_#6 Temps &amp; Contractors" xfId="41"/>
    <cellStyle name="Comma [00]" xfId="42"/>
    <cellStyle name="Comma_#6 Temps &amp; Contractors" xfId="43"/>
    <cellStyle name="Currency [0]_#6 Temps &amp; Contractors" xfId="44"/>
    <cellStyle name="Currency [00]" xfId="45"/>
    <cellStyle name="Currency_#6 Temps &amp; Contractors" xfId="46"/>
    <cellStyle name="Date Short" xfId="47"/>
    <cellStyle name="DELTA" xfId="48"/>
    <cellStyle name="Enter Currency (0)" xfId="49"/>
    <cellStyle name="Enter Currency (2)" xfId="50"/>
    <cellStyle name="Enter Units (0)" xfId="51"/>
    <cellStyle name="Enter Units (1)" xfId="52"/>
    <cellStyle name="Enter Units (2)" xfId="53"/>
    <cellStyle name="Grey" xfId="54"/>
    <cellStyle name="Header1" xfId="55"/>
    <cellStyle name="Header2" xfId="56"/>
    <cellStyle name="Hyperlink_RESULTS" xfId="57"/>
    <cellStyle name="Input [yellow]" xfId="58"/>
    <cellStyle name="Link Currency (0)" xfId="59"/>
    <cellStyle name="Link Currency (2)" xfId="60"/>
    <cellStyle name="Link Units (0)" xfId="61"/>
    <cellStyle name="Link Units (1)" xfId="62"/>
    <cellStyle name="Link Units (2)" xfId="63"/>
    <cellStyle name="Normal - Style1" xfId="64"/>
    <cellStyle name="Normal - Style1 2" xfId="65"/>
    <cellStyle name="Normal_# 41-Market &amp;Trends" xfId="66"/>
    <cellStyle name="paint" xfId="67"/>
    <cellStyle name="Percent [0]" xfId="68"/>
    <cellStyle name="Percent [00]" xfId="69"/>
    <cellStyle name="Percent [2]" xfId="70"/>
    <cellStyle name="Percent_#6 Temps &amp; Contractors" xfId="71"/>
    <cellStyle name="PrePop Currency (0)" xfId="72"/>
    <cellStyle name="PrePop Currency (2)" xfId="73"/>
    <cellStyle name="PrePop Units (0)" xfId="74"/>
    <cellStyle name="PrePop Units (1)" xfId="75"/>
    <cellStyle name="PrePop Units (2)" xfId="76"/>
    <cellStyle name="Text Indent A" xfId="77"/>
    <cellStyle name="Text Indent B" xfId="78"/>
    <cellStyle name="Text Indent C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Hyperlink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Обычный_Бюджет ОФИСА на 2005 год (06-01-05)" xfId="101"/>
    <cellStyle name="Обычный_Бюджет ОФИСА на 2005 год (06-01-05) 2" xfId="102"/>
    <cellStyle name="Обычный_Смета затрат на 2007г" xfId="103"/>
    <cellStyle name="Обычный_Энергия на хоз.нужды на усл. год" xfId="104"/>
    <cellStyle name="Followed Hyperlink" xfId="105"/>
    <cellStyle name="Плохой" xfId="106"/>
    <cellStyle name="Пояснение" xfId="107"/>
    <cellStyle name="Примечание" xfId="108"/>
    <cellStyle name="Примечание 2" xfId="109"/>
    <cellStyle name="Percent" xfId="110"/>
    <cellStyle name="Связанная ячейка" xfId="111"/>
    <cellStyle name="Стиль 1" xfId="112"/>
    <cellStyle name="Текст предупреждения" xfId="113"/>
    <cellStyle name="Тысячи [0]_Пятидневка" xfId="114"/>
    <cellStyle name="Тысячи_Пятидневка" xfId="115"/>
    <cellStyle name="Comma" xfId="116"/>
    <cellStyle name="Comma [0]" xfId="117"/>
    <cellStyle name="Хороший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3400425</xdr:colOff>
      <xdr:row>107</xdr:row>
      <xdr:rowOff>438150</xdr:rowOff>
    </xdr:from>
    <xdr:to>
      <xdr:col>1</xdr:col>
      <xdr:colOff>3552825</xdr:colOff>
      <xdr:row>107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48100" y="287464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3400425</xdr:colOff>
      <xdr:row>107</xdr:row>
      <xdr:rowOff>438150</xdr:rowOff>
    </xdr:from>
    <xdr:to>
      <xdr:col>1</xdr:col>
      <xdr:colOff>3552825</xdr:colOff>
      <xdr:row>107</xdr:row>
      <xdr:rowOff>438150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48100" y="28746450"/>
          <a:ext cx="161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8</xdr:col>
      <xdr:colOff>0</xdr:colOff>
      <xdr:row>107</xdr:row>
      <xdr:rowOff>419100</xdr:rowOff>
    </xdr:from>
    <xdr:to>
      <xdr:col>10</xdr:col>
      <xdr:colOff>0</xdr:colOff>
      <xdr:row>107</xdr:row>
      <xdr:rowOff>419100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601200" y="28727400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А*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3429000</xdr:colOff>
      <xdr:row>109</xdr:row>
      <xdr:rowOff>0</xdr:rowOff>
    </xdr:from>
    <xdr:to>
      <xdr:col>1</xdr:col>
      <xdr:colOff>3609975</xdr:colOff>
      <xdr:row>109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76675" y="28841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3429000</xdr:colOff>
      <xdr:row>109</xdr:row>
      <xdr:rowOff>0</xdr:rowOff>
    </xdr:from>
    <xdr:to>
      <xdr:col>1</xdr:col>
      <xdr:colOff>3609975</xdr:colOff>
      <xdr:row>109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76675" y="2884170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8</xdr:col>
      <xdr:colOff>0</xdr:colOff>
      <xdr:row>108</xdr:row>
      <xdr:rowOff>428625</xdr:rowOff>
    </xdr:from>
    <xdr:to>
      <xdr:col>10</xdr:col>
      <xdr:colOff>0</xdr:colOff>
      <xdr:row>108</xdr:row>
      <xdr:rowOff>428625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753600" y="28841700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А*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3400425</xdr:colOff>
      <xdr:row>108</xdr:row>
      <xdr:rowOff>419100</xdr:rowOff>
    </xdr:from>
    <xdr:to>
      <xdr:col>1</xdr:col>
      <xdr:colOff>3552825</xdr:colOff>
      <xdr:row>108</xdr:row>
      <xdr:rowOff>419100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48100" y="295275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1</xdr:col>
      <xdr:colOff>3400425</xdr:colOff>
      <xdr:row>108</xdr:row>
      <xdr:rowOff>419100</xdr:rowOff>
    </xdr:from>
    <xdr:to>
      <xdr:col>1</xdr:col>
      <xdr:colOff>3552825</xdr:colOff>
      <xdr:row>108</xdr:row>
      <xdr:rowOff>419100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848100" y="295275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  <xdr:twoCellAnchor>
    <xdr:from>
      <xdr:col>9</xdr:col>
      <xdr:colOff>0</xdr:colOff>
      <xdr:row>108</xdr:row>
      <xdr:rowOff>428625</xdr:rowOff>
    </xdr:from>
    <xdr:to>
      <xdr:col>11</xdr:col>
      <xdr:colOff>0</xdr:colOff>
      <xdr:row>108</xdr:row>
      <xdr:rowOff>428625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610975" y="29537025"/>
          <a:ext cx="2286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А*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63</xdr:row>
      <xdr:rowOff>9525</xdr:rowOff>
    </xdr:from>
    <xdr:to>
      <xdr:col>6</xdr:col>
      <xdr:colOff>0</xdr:colOff>
      <xdr:row>63</xdr:row>
      <xdr:rowOff>9525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563100" y="23260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А*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e-main\OBPIK\&#1050;&#1069;&#1041;%20&#1040;&#1045;%20'08&#1075;\&#1051;&#1042;%20&#1055;&#1069;&#1057;%20&#1073;&#1102;&#1076;&#1078;&#1077;&#1090;%2007%20&#1086;&#1090;%2031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e-main\OBPIK\Plan\Fakt\&#1040;&#1054;%20&#1055;&#1069;%202006%20&#1075;\&#1041;&#1080;&#1079;&#1085;&#1077;&#1089;-&#1087;&#1083;&#1072;&#1085;%20&#1082;%20&#1080;&#1085;&#1074;&#1077;&#1089;&#1090;.%20&#1076;&#1086;%202013&#1075;\&#1057;&#1054;&#1055;%20&#1085;&#1072;%202007-2013&#1075;&#10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44;&#1086;&#1093;&#1086;&#1076;&#1099;%20&#1086;&#1090;%20&#1085;&#1072;&#1095;&#1080;&#1089;&#1083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e-main\obpik\&#1041;&#1056;&#1040;&#1046;&#1053;&#1048;&#1050;%20&#1054;.&#1042;\&#1042;&#1085;&#1091;&#1090;&#1088;&#1077;&#1085;&#1085;&#1080;&#1077;%20&#1086;&#1090;&#1095;&#1105;&#1090;&#1099;\&#1054;&#1090;&#1095;&#1105;&#1090;%20&#1087;&#1086;%20&#1069;&#1085;&#1077;&#1088;&#1075;&#1086;&#1094;&#1077;&#1085;&#1090;&#1088;&#1091;%202011&#1075;%20-%2018.01.12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e-main\obpik\&#1041;&#1056;&#1040;&#1046;&#1053;&#1048;&#1050;%20&#1054;.&#1042;\&#1042;&#1085;&#1091;&#1090;&#1088;&#1077;&#1085;&#1085;&#1080;&#1077;%20&#1086;&#1090;&#1095;&#1105;&#1090;&#1099;\&#1054;&#1090;&#1095;&#1105;&#1090;%20&#1087;&#1086;%20&#1069;&#1085;&#1077;&#1088;&#1075;&#1086;&#1094;&#1077;&#1085;&#1090;&#1088;&#1091;%202010&#107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ke-main\scans\Users\Y.Berezina\AppData\Local\Microsoft\Windows\INetCache\Content.Outlook\SEQK7Z01\&#1050;&#1086;&#1087;&#1080;&#1103;%20&#1058;&#1040;&#1056;&#1048;&#1060;&#1053;&#1040;&#1071;%20&#1057;&#1052;&#1045;&#1058;&#1040;%202023&#1075;%2011.07.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ke-main\scans\Users\Y.Berezina\AppData\Local\Microsoft\Windows\INetCache\Content.Outlook\SEQK7Z01\&#1050;&#1086;&#1087;&#1080;&#1103;%20&#1050;&#1086;&#1087;&#1080;&#1103;%20&#1056;&#1072;&#1079;&#1073;&#1080;&#1074;&#1082;&#1072;%20%20&#1090;&#1072;&#1088;&#1080;&#1092;&#1086;&#1081;%20&#1089;&#1084;&#1077;&#1090;&#1099;%20&#1085;&#1072;%202021-2025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8;&#1040;&#1056;&#1048;&#1060;&#1053;&#1040;&#1071;%20&#1057;&#1052;&#1045;&#1058;&#1040;%202023&#1075;%2019.07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модель 2007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Пр"/>
      <sheetName val="Вод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 по реал"/>
      <sheetName val="70%к.п."/>
      <sheetName val="без ТС"/>
      <sheetName val="без ТС (2)"/>
      <sheetName val="тепло с подп.ТЦ"/>
      <sheetName val="реал 80% 1048"/>
      <sheetName val="реал 80%"/>
      <sheetName val="отп тариф 104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нв"/>
      <sheetName val="янв с разб"/>
      <sheetName val="фев"/>
      <sheetName val="фев с разб "/>
      <sheetName val="2 мес "/>
      <sheetName val="мар"/>
      <sheetName val="мар с разб"/>
      <sheetName val="3 мес"/>
      <sheetName val="апр"/>
      <sheetName val="апр с разб"/>
      <sheetName val="4 мес"/>
      <sheetName val="май"/>
      <sheetName val="май с разб"/>
      <sheetName val="5 мес"/>
      <sheetName val="июн"/>
      <sheetName val="июн с разб"/>
      <sheetName val="6 мес"/>
      <sheetName val="июль"/>
      <sheetName val="июль с разб"/>
      <sheetName val="7 мес"/>
      <sheetName val="авг"/>
      <sheetName val="авг с разб"/>
      <sheetName val="8 мес"/>
      <sheetName val="сен"/>
      <sheetName val="сен с разб"/>
      <sheetName val="9 мес"/>
      <sheetName val="окт"/>
      <sheetName val="окт с разб"/>
      <sheetName val="10 мес"/>
      <sheetName val="ноябрь"/>
      <sheetName val="ноябрь с разб "/>
      <sheetName val="11 мес"/>
      <sheetName val="декабрь"/>
      <sheetName val="декабрь с разб"/>
      <sheetName val="12 мес"/>
      <sheetName val="4кв"/>
    </sheetNames>
    <sheetDataSet>
      <sheetData sheetId="16">
        <row r="77">
          <cell r="F77">
            <v>3722514.3852353008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1 с разб"/>
      <sheetName val="02"/>
      <sheetName val="02 с разб"/>
      <sheetName val="2 мес"/>
      <sheetName val="03"/>
      <sheetName val="03 с разб"/>
      <sheetName val="3 мес"/>
      <sheetName val="04"/>
      <sheetName val="04 с разб"/>
      <sheetName val="4 мес"/>
      <sheetName val="05"/>
      <sheetName val="05 с разб"/>
      <sheetName val="5 мес"/>
      <sheetName val="06"/>
      <sheetName val="06 с разб"/>
      <sheetName val="6 мес"/>
      <sheetName val="07"/>
      <sheetName val="07 с разб"/>
      <sheetName val="7 мес"/>
      <sheetName val="08"/>
      <sheetName val="08 с разб"/>
      <sheetName val="8 мес"/>
      <sheetName val="09"/>
      <sheetName val="09 с разб"/>
      <sheetName val="9 мес"/>
      <sheetName val="10"/>
      <sheetName val="10 с разб"/>
      <sheetName val="10 мес"/>
      <sheetName val="11"/>
      <sheetName val="11 с разб"/>
      <sheetName val="11 мес"/>
      <sheetName val="12"/>
      <sheetName val="12 с разб"/>
      <sheetName val="12 мес "/>
    </sheetNames>
    <sheetDataSet>
      <sheetData sheetId="34">
        <row r="78">
          <cell r="F78">
            <v>6848296.120449999</v>
          </cell>
        </row>
        <row r="80">
          <cell r="E80">
            <v>2848759.0347800003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кв"/>
      <sheetName val="5 мес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 "/>
      <sheetName val="год проверка1"/>
      <sheetName val="6мес (от плана)"/>
      <sheetName val="7мес"/>
      <sheetName val="8мес"/>
    </sheetNames>
    <sheetDataSet>
      <sheetData sheetId="1">
        <row r="12">
          <cell r="G12">
            <v>2479.504</v>
          </cell>
        </row>
        <row r="13">
          <cell r="G13">
            <v>828.01174</v>
          </cell>
        </row>
        <row r="14">
          <cell r="G14">
            <v>2417.005</v>
          </cell>
        </row>
        <row r="15">
          <cell r="G15">
            <v>221.46495</v>
          </cell>
        </row>
        <row r="16">
          <cell r="G16">
            <v>257.678</v>
          </cell>
        </row>
        <row r="17">
          <cell r="G17">
            <v>202.4467884</v>
          </cell>
        </row>
        <row r="19">
          <cell r="G19">
            <v>951.675</v>
          </cell>
        </row>
        <row r="23">
          <cell r="G23">
            <v>31.569000000000017</v>
          </cell>
        </row>
        <row r="24">
          <cell r="G24">
            <v>0</v>
          </cell>
        </row>
        <row r="26">
          <cell r="G26">
            <v>140.326</v>
          </cell>
        </row>
        <row r="27">
          <cell r="G27">
            <v>16.561</v>
          </cell>
        </row>
        <row r="28">
          <cell r="G28">
            <v>9.935</v>
          </cell>
        </row>
        <row r="29">
          <cell r="G29">
            <v>20.402</v>
          </cell>
        </row>
        <row r="30">
          <cell r="G30">
            <v>81.174</v>
          </cell>
        </row>
        <row r="31">
          <cell r="G31">
            <v>459.464</v>
          </cell>
        </row>
        <row r="32">
          <cell r="G32">
            <v>38.646</v>
          </cell>
        </row>
        <row r="33">
          <cell r="G33">
            <v>0</v>
          </cell>
        </row>
        <row r="34">
          <cell r="G34">
            <v>197.362</v>
          </cell>
        </row>
        <row r="35">
          <cell r="G35">
            <v>94.99</v>
          </cell>
        </row>
        <row r="36">
          <cell r="G36">
            <v>31.354939999999992</v>
          </cell>
        </row>
        <row r="37">
          <cell r="G37">
            <v>975.054</v>
          </cell>
        </row>
        <row r="38">
          <cell r="G38">
            <v>42.5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5.44</v>
          </cell>
        </row>
        <row r="42">
          <cell r="G42">
            <v>0.71</v>
          </cell>
        </row>
        <row r="43">
          <cell r="G43">
            <v>21.14</v>
          </cell>
        </row>
        <row r="44">
          <cell r="G44">
            <v>131.219</v>
          </cell>
        </row>
        <row r="45">
          <cell r="G45">
            <v>1231.5467632</v>
          </cell>
        </row>
        <row r="46">
          <cell r="G46">
            <v>0</v>
          </cell>
        </row>
        <row r="47">
          <cell r="G47">
            <v>54.87906</v>
          </cell>
        </row>
        <row r="48">
          <cell r="G48">
            <v>0</v>
          </cell>
        </row>
        <row r="50">
          <cell r="G50">
            <v>29.011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5 мес"/>
      <sheetName val="прил.1"/>
      <sheetName val="фот 2021"/>
      <sheetName val=" свод энергия на хоз нужды"/>
    </sheetNames>
    <sheetDataSet>
      <sheetData sheetId="1">
        <row r="14">
          <cell r="BB14">
            <v>4004</v>
          </cell>
        </row>
        <row r="15">
          <cell r="BB15">
            <v>356.994</v>
          </cell>
        </row>
        <row r="16">
          <cell r="BB16">
            <v>125.338</v>
          </cell>
        </row>
        <row r="17">
          <cell r="BB17">
            <v>30</v>
          </cell>
        </row>
        <row r="18">
          <cell r="BB18">
            <v>439.5</v>
          </cell>
        </row>
        <row r="19">
          <cell r="BB19">
            <v>21.607918160346262</v>
          </cell>
        </row>
        <row r="20">
          <cell r="BB20">
            <v>43.833333333333336</v>
          </cell>
        </row>
        <row r="21">
          <cell r="BB21">
            <v>72.66666666666667</v>
          </cell>
        </row>
        <row r="22">
          <cell r="BB22">
            <v>4.833333333333333</v>
          </cell>
        </row>
        <row r="25">
          <cell r="BB25">
            <v>117.5</v>
          </cell>
        </row>
        <row r="27">
          <cell r="BB27">
            <v>2.25</v>
          </cell>
        </row>
        <row r="28">
          <cell r="BB28">
            <v>1.9166666666666667</v>
          </cell>
        </row>
        <row r="29">
          <cell r="BB29">
            <v>0.46558719989420616</v>
          </cell>
        </row>
        <row r="30">
          <cell r="BB30">
            <v>1.6666666666666667</v>
          </cell>
        </row>
        <row r="31">
          <cell r="BB31">
            <v>23</v>
          </cell>
        </row>
        <row r="32">
          <cell r="BB32">
            <v>2</v>
          </cell>
        </row>
        <row r="33">
          <cell r="BB33">
            <v>33.666666666666664</v>
          </cell>
        </row>
        <row r="34">
          <cell r="BB34">
            <v>19.833333333333332</v>
          </cell>
        </row>
        <row r="35">
          <cell r="BB35">
            <v>4.333333333333333</v>
          </cell>
        </row>
        <row r="37">
          <cell r="BB37">
            <v>55.416666666666664</v>
          </cell>
        </row>
        <row r="38">
          <cell r="BB38">
            <v>6.166666666666667</v>
          </cell>
        </row>
        <row r="39">
          <cell r="BB39">
            <v>35.416666666666664</v>
          </cell>
        </row>
        <row r="40">
          <cell r="BB40">
            <v>83.25</v>
          </cell>
        </row>
        <row r="41">
          <cell r="BB41">
            <v>12.5</v>
          </cell>
        </row>
        <row r="42">
          <cell r="BB42">
            <v>20.75</v>
          </cell>
        </row>
        <row r="43">
          <cell r="BB43">
            <v>8.916666666666666</v>
          </cell>
        </row>
        <row r="44">
          <cell r="BB44">
            <v>0</v>
          </cell>
        </row>
        <row r="45">
          <cell r="BB45">
            <v>4.25</v>
          </cell>
        </row>
        <row r="46">
          <cell r="BB46">
            <v>1.5</v>
          </cell>
        </row>
        <row r="47">
          <cell r="BB47">
            <v>4.666666666666667</v>
          </cell>
        </row>
        <row r="48">
          <cell r="BB48">
            <v>23.916666666666668</v>
          </cell>
        </row>
        <row r="49">
          <cell r="BB49">
            <v>2.9166666666666665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кв"/>
      <sheetName val="5 мес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 "/>
      <sheetName val="год проверка1"/>
      <sheetName val="6мес (от плана)"/>
      <sheetName val="7мес"/>
      <sheetName val="8мес"/>
    </sheetNames>
    <sheetDataSet>
      <sheetData sheetId="1">
        <row r="11">
          <cell r="G11">
            <v>27701.01691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jl:31458903.100%20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26"/>
  <sheetViews>
    <sheetView view="pageBreakPreview" zoomScale="110" zoomScaleNormal="70" zoomScaleSheetLayoutView="110" zoomScalePageLayoutView="0" workbookViewId="0" topLeftCell="A1">
      <pane xSplit="2" ySplit="7" topLeftCell="C32" activePane="bottomRight" state="frozen"/>
      <selection pane="topLeft" activeCell="B90" sqref="B90"/>
      <selection pane="topRight" activeCell="B90" sqref="B90"/>
      <selection pane="bottomLeft" activeCell="B90" sqref="B90"/>
      <selection pane="bottomRight" activeCell="H48" sqref="H48"/>
    </sheetView>
  </sheetViews>
  <sheetFormatPr defaultColWidth="9.125" defaultRowHeight="12.75" outlineLevelRow="1" outlineLevelCol="1"/>
  <cols>
    <col min="1" max="1" width="5.875" style="188" customWidth="1"/>
    <col min="2" max="2" width="50.875" style="188" customWidth="1"/>
    <col min="3" max="3" width="10.625" style="188" customWidth="1"/>
    <col min="4" max="4" width="18.00390625" style="188" customWidth="1"/>
    <col min="5" max="5" width="17.50390625" style="188" hidden="1" customWidth="1" outlineLevel="1"/>
    <col min="6" max="6" width="13.50390625" style="188" customWidth="1" collapsed="1"/>
    <col min="7" max="7" width="13.50390625" style="188" customWidth="1"/>
    <col min="8" max="8" width="13.625" style="188" customWidth="1" outlineLevel="1"/>
    <col min="9" max="9" width="13.50390625" style="188" customWidth="1"/>
    <col min="10" max="13" width="13.625" style="188" customWidth="1"/>
    <col min="14" max="14" width="11.125" style="188" customWidth="1"/>
    <col min="15" max="15" width="10.625" style="188" customWidth="1"/>
    <col min="16" max="16" width="9.125" style="188" customWidth="1"/>
    <col min="17" max="17" width="9.875" style="188" customWidth="1"/>
    <col min="18" max="18" width="8.375" style="188" customWidth="1"/>
    <col min="19" max="19" width="9.375" style="188" bestFit="1" customWidth="1"/>
    <col min="20" max="16384" width="9.125" style="188" customWidth="1"/>
  </cols>
  <sheetData>
    <row r="1" spans="1:13" s="174" customFormat="1" ht="23.25" customHeight="1">
      <c r="A1" s="379" t="s">
        <v>131</v>
      </c>
      <c r="B1" s="379"/>
      <c r="C1" s="379"/>
      <c r="D1" s="379"/>
      <c r="E1" s="379"/>
      <c r="F1" s="379"/>
      <c r="G1" s="379"/>
      <c r="H1" s="379"/>
      <c r="I1" s="379"/>
      <c r="J1" s="379"/>
      <c r="K1" s="313"/>
      <c r="L1" s="313"/>
      <c r="M1" s="313"/>
    </row>
    <row r="2" spans="1:13" s="174" customFormat="1" ht="21.75" customHeight="1">
      <c r="A2" s="380" t="s">
        <v>201</v>
      </c>
      <c r="B2" s="380"/>
      <c r="C2" s="380"/>
      <c r="D2" s="380"/>
      <c r="E2" s="380"/>
      <c r="F2" s="380"/>
      <c r="G2" s="380"/>
      <c r="H2" s="380"/>
      <c r="I2" s="380"/>
      <c r="J2" s="380"/>
      <c r="K2" s="314"/>
      <c r="L2" s="314"/>
      <c r="M2" s="314"/>
    </row>
    <row r="3" spans="1:13" s="174" customFormat="1" ht="21.75" customHeight="1">
      <c r="A3" s="380" t="s">
        <v>1</v>
      </c>
      <c r="B3" s="380"/>
      <c r="C3" s="380"/>
      <c r="D3" s="380"/>
      <c r="E3" s="380"/>
      <c r="F3" s="380"/>
      <c r="G3" s="380"/>
      <c r="H3" s="380"/>
      <c r="I3" s="380"/>
      <c r="J3" s="380"/>
      <c r="K3" s="314"/>
      <c r="L3" s="314"/>
      <c r="M3" s="314"/>
    </row>
    <row r="4" spans="1:13" s="174" customFormat="1" ht="18" customHeight="1" thickBot="1">
      <c r="A4" s="175"/>
      <c r="B4" s="175"/>
      <c r="C4" s="175"/>
      <c r="D4" s="175"/>
      <c r="E4" s="175"/>
      <c r="F4" s="381"/>
      <c r="G4" s="381"/>
      <c r="H4" s="381"/>
      <c r="I4" s="173"/>
      <c r="J4" s="173"/>
      <c r="K4" s="173"/>
      <c r="L4" s="173"/>
      <c r="M4" s="173"/>
    </row>
    <row r="5" spans="1:13" s="174" customFormat="1" ht="27" customHeight="1">
      <c r="A5" s="382" t="s">
        <v>2</v>
      </c>
      <c r="B5" s="385" t="s">
        <v>3</v>
      </c>
      <c r="C5" s="385" t="s">
        <v>4</v>
      </c>
      <c r="D5" s="374" t="s">
        <v>202</v>
      </c>
      <c r="E5" s="374" t="s">
        <v>141</v>
      </c>
      <c r="F5" s="371" t="s">
        <v>203</v>
      </c>
      <c r="G5" s="374" t="s">
        <v>5</v>
      </c>
      <c r="H5" s="374" t="s">
        <v>6</v>
      </c>
      <c r="I5" s="390" t="s">
        <v>7</v>
      </c>
      <c r="J5" s="391"/>
      <c r="K5" s="315"/>
      <c r="L5" s="315"/>
      <c r="M5" s="315"/>
    </row>
    <row r="6" spans="1:13" s="174" customFormat="1" ht="23.25" customHeight="1">
      <c r="A6" s="383"/>
      <c r="B6" s="386"/>
      <c r="C6" s="386"/>
      <c r="D6" s="375"/>
      <c r="E6" s="375"/>
      <c r="F6" s="372"/>
      <c r="G6" s="375"/>
      <c r="H6" s="375"/>
      <c r="I6" s="392" t="s">
        <v>8</v>
      </c>
      <c r="J6" s="377" t="s">
        <v>9</v>
      </c>
      <c r="K6" s="315"/>
      <c r="L6" s="315"/>
      <c r="M6" s="315"/>
    </row>
    <row r="7" spans="1:13" s="176" customFormat="1" ht="30" customHeight="1" thickBot="1">
      <c r="A7" s="384"/>
      <c r="B7" s="387"/>
      <c r="C7" s="387"/>
      <c r="D7" s="376"/>
      <c r="E7" s="376"/>
      <c r="F7" s="373"/>
      <c r="G7" s="376"/>
      <c r="H7" s="376"/>
      <c r="I7" s="393"/>
      <c r="J7" s="378"/>
      <c r="K7" s="315" t="s">
        <v>213</v>
      </c>
      <c r="L7" s="315" t="s">
        <v>214</v>
      </c>
      <c r="M7" s="315" t="s">
        <v>215</v>
      </c>
    </row>
    <row r="8" spans="1:13" s="176" customFormat="1" ht="24" customHeight="1" outlineLevel="1">
      <c r="A8" s="177"/>
      <c r="B8" s="6" t="s">
        <v>10</v>
      </c>
      <c r="C8" s="7" t="s">
        <v>11</v>
      </c>
      <c r="D8" s="8" t="e">
        <f>D51</f>
        <v>#REF!</v>
      </c>
      <c r="E8" s="146">
        <f>E51</f>
        <v>169623</v>
      </c>
      <c r="F8" s="8">
        <f>F51</f>
        <v>262910.5808282</v>
      </c>
      <c r="G8" s="8">
        <f>G51</f>
        <v>45329.6696508</v>
      </c>
      <c r="H8" s="8">
        <f>H51</f>
        <v>217580.9111774</v>
      </c>
      <c r="I8" s="8" t="e">
        <f>G8-D8</f>
        <v>#REF!</v>
      </c>
      <c r="J8" s="9" t="e">
        <f>G8/D8*100</f>
        <v>#REF!</v>
      </c>
      <c r="K8" s="316"/>
      <c r="L8" s="316">
        <v>5543.194912024209</v>
      </c>
      <c r="M8" s="316"/>
    </row>
    <row r="9" spans="1:13" s="176" customFormat="1" ht="24" customHeight="1" outlineLevel="1">
      <c r="A9" s="178"/>
      <c r="B9" s="11" t="s">
        <v>12</v>
      </c>
      <c r="C9" s="7" t="s">
        <v>11</v>
      </c>
      <c r="D9" s="12" t="e">
        <f>D8</f>
        <v>#REF!</v>
      </c>
      <c r="E9" s="147">
        <f>E8</f>
        <v>169623</v>
      </c>
      <c r="F9" s="12">
        <f>F8</f>
        <v>262910.5808282</v>
      </c>
      <c r="G9" s="12">
        <f>G8</f>
        <v>45329.6696508</v>
      </c>
      <c r="H9" s="12">
        <f>H8</f>
        <v>217580.9111774</v>
      </c>
      <c r="I9" s="8" t="e">
        <f aca="true" t="shared" si="0" ref="I9:I77">G9-D9</f>
        <v>#REF!</v>
      </c>
      <c r="J9" s="9" t="e">
        <f aca="true" t="shared" si="1" ref="J9:J77">G9/D9*100</f>
        <v>#REF!</v>
      </c>
      <c r="K9" s="316"/>
      <c r="L9" s="316">
        <v>5543.194912024209</v>
      </c>
      <c r="M9" s="316"/>
    </row>
    <row r="10" spans="1:13" s="176" customFormat="1" ht="13.5" customHeight="1" outlineLevel="1">
      <c r="A10" s="178"/>
      <c r="B10" s="13" t="s">
        <v>13</v>
      </c>
      <c r="C10" s="13"/>
      <c r="D10" s="13"/>
      <c r="E10" s="259"/>
      <c r="F10" s="161"/>
      <c r="G10" s="161"/>
      <c r="H10" s="304"/>
      <c r="I10" s="8"/>
      <c r="J10" s="9"/>
      <c r="K10" s="316"/>
      <c r="L10" s="316"/>
      <c r="M10" s="316"/>
    </row>
    <row r="11" spans="1:15" s="179" customFormat="1" ht="21" customHeight="1">
      <c r="A11" s="15">
        <v>1</v>
      </c>
      <c r="B11" s="16" t="s">
        <v>14</v>
      </c>
      <c r="C11" s="7" t="s">
        <v>11</v>
      </c>
      <c r="D11" s="197" t="e">
        <f>#REF!+#REF!</f>
        <v>#REF!</v>
      </c>
      <c r="E11" s="197">
        <f>158260/2</f>
        <v>79130</v>
      </c>
      <c r="F11" s="197">
        <f>G11+H11</f>
        <v>185175.1905</v>
      </c>
      <c r="G11" s="197">
        <f>(22384.678+8385.773)-G69+4077.456</f>
        <v>34192.13065</v>
      </c>
      <c r="H11" s="197">
        <f>(114082.7+40942.304)-H69+M11</f>
        <v>150983.05985</v>
      </c>
      <c r="I11" s="8" t="e">
        <f t="shared" si="0"/>
        <v>#REF!</v>
      </c>
      <c r="J11" s="9" t="e">
        <f t="shared" si="1"/>
        <v>#REF!</v>
      </c>
      <c r="K11" s="316"/>
      <c r="L11" s="316">
        <v>4077.4564054992125</v>
      </c>
      <c r="M11" s="316"/>
      <c r="N11" s="132"/>
      <c r="O11" s="132"/>
    </row>
    <row r="12" spans="1:15" s="131" customFormat="1" ht="18" customHeight="1">
      <c r="A12" s="20">
        <v>2</v>
      </c>
      <c r="B12" s="130" t="s">
        <v>15</v>
      </c>
      <c r="C12" s="22" t="s">
        <v>11</v>
      </c>
      <c r="D12" s="197" t="e">
        <f>#REF!+#REF!</f>
        <v>#REF!</v>
      </c>
      <c r="E12" s="194">
        <f>15668/2</f>
        <v>7834</v>
      </c>
      <c r="F12" s="197">
        <f>G12+H12</f>
        <v>16017.005000000001</v>
      </c>
      <c r="G12" s="197">
        <f>1187.625+704.736+475.732+230.585+344.074</f>
        <v>2942.752</v>
      </c>
      <c r="H12" s="197">
        <f>6039.309+3586.455+2322.69+1125.799+M12</f>
        <v>13074.253</v>
      </c>
      <c r="I12" s="8" t="e">
        <f t="shared" si="0"/>
        <v>#REF!</v>
      </c>
      <c r="J12" s="9" t="e">
        <f t="shared" si="1"/>
        <v>#REF!</v>
      </c>
      <c r="K12" s="316"/>
      <c r="L12" s="316">
        <v>344.0740494418444</v>
      </c>
      <c r="M12" s="316"/>
      <c r="N12" s="131">
        <f>1168+776</f>
        <v>1944</v>
      </c>
      <c r="O12" s="132">
        <v>9503.2405882</v>
      </c>
    </row>
    <row r="13" spans="1:15" s="131" customFormat="1" ht="32.25" customHeight="1">
      <c r="A13" s="15">
        <v>3</v>
      </c>
      <c r="B13" s="283" t="s">
        <v>160</v>
      </c>
      <c r="C13" s="22"/>
      <c r="D13" s="197" t="e">
        <f>#REF!+#REF!</f>
        <v>#REF!</v>
      </c>
      <c r="E13" s="194"/>
      <c r="F13" s="197">
        <f aca="true" t="shared" si="2" ref="F13:F45">G13+H13</f>
        <v>3627.004761</v>
      </c>
      <c r="G13" s="197">
        <f>572.810333+120.839</f>
        <v>693.6493330000001</v>
      </c>
      <c r="H13" s="197">
        <f>2933.355428+M13</f>
        <v>2933.355428</v>
      </c>
      <c r="I13" s="8" t="e">
        <f>G13-D13</f>
        <v>#REF!</v>
      </c>
      <c r="J13" s="9" t="e">
        <f>G13/D13*100</f>
        <v>#REF!</v>
      </c>
      <c r="K13" s="316"/>
      <c r="L13" s="316">
        <v>120.83869216497637</v>
      </c>
      <c r="M13" s="316"/>
      <c r="O13" s="132"/>
    </row>
    <row r="14" spans="1:15" s="133" customFormat="1" ht="22.5" customHeight="1">
      <c r="A14" s="20">
        <v>4</v>
      </c>
      <c r="B14" s="30" t="s">
        <v>16</v>
      </c>
      <c r="C14" s="22" t="s">
        <v>11</v>
      </c>
      <c r="D14" s="197" t="e">
        <f>#REF!+#REF!</f>
        <v>#REF!</v>
      </c>
      <c r="E14" s="194">
        <f>12611/2</f>
        <v>6305.5</v>
      </c>
      <c r="F14" s="197">
        <f t="shared" si="2"/>
        <v>13606.713</v>
      </c>
      <c r="G14" s="197">
        <f>1509.846+680.108+379.75</f>
        <v>2569.7039999999997</v>
      </c>
      <c r="H14" s="197">
        <f>7716.481+3320.528</f>
        <v>11037.009</v>
      </c>
      <c r="I14" s="8" t="e">
        <f t="shared" si="0"/>
        <v>#REF!</v>
      </c>
      <c r="J14" s="9" t="e">
        <f t="shared" si="1"/>
        <v>#REF!</v>
      </c>
      <c r="K14" s="316"/>
      <c r="L14" s="316">
        <v>30.75</v>
      </c>
      <c r="M14" s="316"/>
      <c r="O14" s="132"/>
    </row>
    <row r="15" spans="1:15" s="133" customFormat="1" ht="22.5" customHeight="1">
      <c r="A15" s="15">
        <v>5</v>
      </c>
      <c r="B15" s="30" t="s">
        <v>17</v>
      </c>
      <c r="C15" s="22" t="s">
        <v>11</v>
      </c>
      <c r="D15" s="197" t="e">
        <f>#REF!+#REF!</f>
        <v>#REF!</v>
      </c>
      <c r="E15" s="194">
        <f>2551/2</f>
        <v>1275.5</v>
      </c>
      <c r="F15" s="197">
        <f t="shared" si="2"/>
        <v>1005.0302389999999</v>
      </c>
      <c r="G15" s="197">
        <f>(422.903+336.077)-G13+30.75</f>
        <v>96.08066699999995</v>
      </c>
      <c r="H15" s="197">
        <f>(2201.457+1640.848)-H13</f>
        <v>908.949572</v>
      </c>
      <c r="I15" s="8" t="e">
        <f t="shared" si="0"/>
        <v>#REF!</v>
      </c>
      <c r="J15" s="9" t="e">
        <f t="shared" si="1"/>
        <v>#REF!</v>
      </c>
      <c r="K15" s="316"/>
      <c r="L15" s="316">
        <v>379.75</v>
      </c>
      <c r="M15" s="316"/>
      <c r="O15" s="132"/>
    </row>
    <row r="16" spans="1:15" s="133" customFormat="1" ht="22.5" customHeight="1">
      <c r="A16" s="20">
        <v>6</v>
      </c>
      <c r="B16" s="30" t="s">
        <v>18</v>
      </c>
      <c r="C16" s="22" t="s">
        <v>11</v>
      </c>
      <c r="D16" s="197" t="e">
        <f>#REF!+#REF!</f>
        <v>#REF!</v>
      </c>
      <c r="E16" s="194">
        <f>2185/2</f>
        <v>1092.5</v>
      </c>
      <c r="F16" s="197">
        <f t="shared" si="2"/>
        <v>1537.524</v>
      </c>
      <c r="G16" s="197">
        <f>151.458+124.921+20.777</f>
        <v>297.156</v>
      </c>
      <c r="H16" s="197">
        <f>630.459+609.909</f>
        <v>1240.368</v>
      </c>
      <c r="I16" s="8" t="e">
        <f t="shared" si="0"/>
        <v>#REF!</v>
      </c>
      <c r="J16" s="9" t="e">
        <f t="shared" si="1"/>
        <v>#REF!</v>
      </c>
      <c r="K16" s="316"/>
      <c r="L16" s="316">
        <v>20.776844384948333</v>
      </c>
      <c r="M16" s="316"/>
      <c r="O16" s="132"/>
    </row>
    <row r="17" spans="1:16" s="133" customFormat="1" ht="19.5" customHeight="1">
      <c r="A17" s="15">
        <v>7</v>
      </c>
      <c r="B17" s="30" t="s">
        <v>19</v>
      </c>
      <c r="C17" s="22" t="s">
        <v>11</v>
      </c>
      <c r="D17" s="197" t="e">
        <f>#REF!+#REF!</f>
        <v>#REF!</v>
      </c>
      <c r="E17" s="194">
        <f>2926/2</f>
        <v>1463</v>
      </c>
      <c r="F17" s="197">
        <f t="shared" si="2"/>
        <v>1530.087561</v>
      </c>
      <c r="G17" s="197">
        <f>(169.472+46.561)-G75+42.167</f>
        <v>220.06556100000003</v>
      </c>
      <c r="H17" s="197">
        <f>(1082.693+227.329)</f>
        <v>1310.022</v>
      </c>
      <c r="I17" s="8" t="e">
        <f t="shared" si="0"/>
        <v>#REF!</v>
      </c>
      <c r="J17" s="9" t="e">
        <f t="shared" si="1"/>
        <v>#REF!</v>
      </c>
      <c r="K17" s="316"/>
      <c r="L17" s="316">
        <v>42.166666666666664</v>
      </c>
      <c r="M17" s="316"/>
      <c r="O17" s="134"/>
      <c r="P17" s="135"/>
    </row>
    <row r="18" spans="1:16" s="133" customFormat="1" ht="19.5" customHeight="1" hidden="1" outlineLevel="1">
      <c r="A18" s="20">
        <v>8</v>
      </c>
      <c r="B18" s="30" t="s">
        <v>20</v>
      </c>
      <c r="C18" s="22" t="s">
        <v>11</v>
      </c>
      <c r="D18" s="197" t="e">
        <f>#REF!+#REF!</f>
        <v>#REF!</v>
      </c>
      <c r="E18" s="194" t="e">
        <f>#REF!+#REF!+#REF!+#REF!+#REF!+#REF!</f>
        <v>#REF!</v>
      </c>
      <c r="F18" s="197">
        <f t="shared" si="2"/>
        <v>0</v>
      </c>
      <c r="G18" s="197"/>
      <c r="H18" s="197"/>
      <c r="I18" s="8" t="e">
        <f t="shared" si="0"/>
        <v>#REF!</v>
      </c>
      <c r="J18" s="9">
        <v>0</v>
      </c>
      <c r="K18" s="316"/>
      <c r="L18" s="316">
        <v>69.83333333333333</v>
      </c>
      <c r="M18" s="316"/>
      <c r="O18" s="134"/>
      <c r="P18" s="135"/>
    </row>
    <row r="19" spans="1:15" s="133" customFormat="1" ht="18.75" customHeight="1" collapsed="1">
      <c r="A19" s="15">
        <v>8</v>
      </c>
      <c r="B19" s="30" t="s">
        <v>21</v>
      </c>
      <c r="C19" s="22" t="s">
        <v>11</v>
      </c>
      <c r="D19" s="197" t="e">
        <f>#REF!+#REF!</f>
        <v>#REF!</v>
      </c>
      <c r="E19" s="194">
        <f>2621/2</f>
        <v>1310.5</v>
      </c>
      <c r="F19" s="197">
        <f t="shared" si="2"/>
        <v>6540.758</v>
      </c>
      <c r="G19" s="197">
        <f>934.204+69.733</f>
        <v>1003.9369999999999</v>
      </c>
      <c r="H19" s="197">
        <f>975.709+4561.112</f>
        <v>5536.821</v>
      </c>
      <c r="I19" s="8" t="e">
        <f t="shared" si="0"/>
        <v>#REF!</v>
      </c>
      <c r="J19" s="9" t="e">
        <f t="shared" si="1"/>
        <v>#REF!</v>
      </c>
      <c r="K19" s="316"/>
      <c r="L19" s="316">
        <v>6.416666666666667</v>
      </c>
      <c r="M19" s="316"/>
      <c r="O19" s="132"/>
    </row>
    <row r="20" spans="1:15" s="133" customFormat="1" ht="19.5" customHeight="1">
      <c r="A20" s="20">
        <v>9</v>
      </c>
      <c r="B20" s="30" t="s">
        <v>22</v>
      </c>
      <c r="C20" s="22" t="s">
        <v>11</v>
      </c>
      <c r="D20" s="197" t="e">
        <f>#REF!+#REF!</f>
        <v>#REF!</v>
      </c>
      <c r="E20" s="194">
        <f>26095/2</f>
        <v>13047.5</v>
      </c>
      <c r="F20" s="197">
        <f t="shared" si="2"/>
        <v>5364.521</v>
      </c>
      <c r="G20" s="197"/>
      <c r="H20" s="197">
        <v>5364.521</v>
      </c>
      <c r="I20" s="8" t="e">
        <f t="shared" si="0"/>
        <v>#REF!</v>
      </c>
      <c r="J20" s="9" t="e">
        <f t="shared" si="1"/>
        <v>#REF!</v>
      </c>
      <c r="K20" s="316"/>
      <c r="L20" s="316">
        <v>451.1322538665608</v>
      </c>
      <c r="M20" s="316"/>
      <c r="O20" s="132"/>
    </row>
    <row r="21" spans="1:15" s="227" customFormat="1" ht="22.5" customHeight="1">
      <c r="A21" s="15">
        <v>10</v>
      </c>
      <c r="B21" s="125" t="s">
        <v>23</v>
      </c>
      <c r="C21" s="22" t="s">
        <v>11</v>
      </c>
      <c r="D21" s="205" t="e">
        <f>SUM(D23:D50)</f>
        <v>#REF!</v>
      </c>
      <c r="E21" s="205">
        <f>SUM(E23:E50)</f>
        <v>58164.5</v>
      </c>
      <c r="F21" s="205">
        <f>SUM(F23:F50)</f>
        <v>28506.746767199995</v>
      </c>
      <c r="G21" s="205">
        <f>SUM(G23:G50)</f>
        <v>3314.1944397999996</v>
      </c>
      <c r="H21" s="126">
        <f>SUM(H23:H50)</f>
        <v>25192.552327400004</v>
      </c>
      <c r="I21" s="8" t="e">
        <f t="shared" si="0"/>
        <v>#REF!</v>
      </c>
      <c r="J21" s="9" t="e">
        <f t="shared" si="1"/>
        <v>#REF!</v>
      </c>
      <c r="K21" s="316"/>
      <c r="L21" s="316">
        <v>112.75</v>
      </c>
      <c r="M21" s="316"/>
      <c r="O21" s="287"/>
    </row>
    <row r="22" spans="1:15" s="133" customFormat="1" ht="15" customHeight="1">
      <c r="A22" s="20"/>
      <c r="B22" s="34" t="s">
        <v>13</v>
      </c>
      <c r="C22" s="22" t="s">
        <v>11</v>
      </c>
      <c r="D22" s="198"/>
      <c r="E22" s="288"/>
      <c r="F22" s="197"/>
      <c r="G22" s="197"/>
      <c r="H22" s="197"/>
      <c r="I22" s="8"/>
      <c r="J22" s="9"/>
      <c r="K22" s="316"/>
      <c r="L22" s="316"/>
      <c r="M22" s="316"/>
      <c r="O22" s="132"/>
    </row>
    <row r="23" spans="1:15" s="133" customFormat="1" ht="18.75" customHeight="1">
      <c r="A23" s="20">
        <v>11</v>
      </c>
      <c r="B23" s="30" t="s">
        <v>24</v>
      </c>
      <c r="C23" s="22" t="s">
        <v>11</v>
      </c>
      <c r="D23" s="197" t="e">
        <f>#REF!+#REF!</f>
        <v>#REF!</v>
      </c>
      <c r="E23" s="209">
        <f>38859/2</f>
        <v>19429.5</v>
      </c>
      <c r="F23" s="197">
        <f t="shared" si="2"/>
        <v>4240.036</v>
      </c>
      <c r="G23" s="197">
        <f>41.784+70.604+22.083</f>
        <v>134.471</v>
      </c>
      <c r="H23" s="197">
        <f>3760.852+344.713</f>
        <v>4105.565</v>
      </c>
      <c r="I23" s="8" t="e">
        <f t="shared" si="0"/>
        <v>#REF!</v>
      </c>
      <c r="J23" s="9" t="e">
        <f t="shared" si="1"/>
        <v>#REF!</v>
      </c>
      <c r="K23" s="316"/>
      <c r="L23" s="316">
        <v>2.25</v>
      </c>
      <c r="M23" s="316"/>
      <c r="O23" s="132"/>
    </row>
    <row r="24" spans="1:15" s="133" customFormat="1" ht="20.25" customHeight="1">
      <c r="A24" s="20">
        <v>12</v>
      </c>
      <c r="B24" s="30" t="s">
        <v>25</v>
      </c>
      <c r="C24" s="22" t="s">
        <v>11</v>
      </c>
      <c r="D24" s="197" t="e">
        <f>#REF!+#REF!</f>
        <v>#REF!</v>
      </c>
      <c r="E24" s="209">
        <f>815/2</f>
        <v>407.5</v>
      </c>
      <c r="F24" s="197">
        <f t="shared" si="2"/>
        <v>0</v>
      </c>
      <c r="G24" s="197">
        <v>0</v>
      </c>
      <c r="H24" s="197">
        <v>0</v>
      </c>
      <c r="I24" s="8" t="e">
        <f t="shared" si="0"/>
        <v>#REF!</v>
      </c>
      <c r="J24" s="9" t="e">
        <f t="shared" si="1"/>
        <v>#REF!</v>
      </c>
      <c r="K24" s="316"/>
      <c r="L24" s="316">
        <v>1.8333333333333333</v>
      </c>
      <c r="M24" s="316"/>
      <c r="O24" s="132"/>
    </row>
    <row r="25" spans="1:15" s="133" customFormat="1" ht="16.5" customHeight="1">
      <c r="A25" s="20">
        <v>13</v>
      </c>
      <c r="B25" s="30" t="s">
        <v>26</v>
      </c>
      <c r="C25" s="22" t="s">
        <v>11</v>
      </c>
      <c r="D25" s="197" t="e">
        <f>#REF!+#REF!</f>
        <v>#REF!</v>
      </c>
      <c r="E25" s="209">
        <f>36446/2</f>
        <v>18223</v>
      </c>
      <c r="F25" s="197">
        <f t="shared" si="2"/>
        <v>0</v>
      </c>
      <c r="G25" s="197">
        <v>0</v>
      </c>
      <c r="H25" s="197">
        <v>0</v>
      </c>
      <c r="I25" s="8" t="e">
        <f t="shared" si="0"/>
        <v>#REF!</v>
      </c>
      <c r="J25" s="9" t="e">
        <f t="shared" si="1"/>
        <v>#REF!</v>
      </c>
      <c r="K25" s="316"/>
      <c r="L25" s="316">
        <v>0.46558719989420616</v>
      </c>
      <c r="M25" s="316"/>
      <c r="O25" s="132"/>
    </row>
    <row r="26" spans="1:15" s="133" customFormat="1" ht="17.25" customHeight="1">
      <c r="A26" s="20">
        <v>14</v>
      </c>
      <c r="B26" s="30" t="s">
        <v>27</v>
      </c>
      <c r="C26" s="22" t="s">
        <v>11</v>
      </c>
      <c r="D26" s="197" t="e">
        <f>#REF!+#REF!</f>
        <v>#REF!</v>
      </c>
      <c r="E26" s="209">
        <f>10316/2</f>
        <v>5158</v>
      </c>
      <c r="F26" s="197">
        <f t="shared" si="2"/>
        <v>5225.534</v>
      </c>
      <c r="G26" s="197">
        <f>385.467-40.02+32.667</f>
        <v>378.11400000000003</v>
      </c>
      <c r="H26" s="197">
        <v>4847.42</v>
      </c>
      <c r="I26" s="8" t="e">
        <f t="shared" si="0"/>
        <v>#REF!</v>
      </c>
      <c r="J26" s="9" t="e">
        <f t="shared" si="1"/>
        <v>#REF!</v>
      </c>
      <c r="K26" s="316"/>
      <c r="L26" s="316">
        <v>1.5833333333333333</v>
      </c>
      <c r="M26" s="316"/>
      <c r="O26" s="132"/>
    </row>
    <row r="27" spans="1:15" s="133" customFormat="1" ht="17.25" customHeight="1">
      <c r="A27" s="20">
        <v>15</v>
      </c>
      <c r="B27" s="30" t="s">
        <v>28</v>
      </c>
      <c r="C27" s="22" t="s">
        <v>11</v>
      </c>
      <c r="D27" s="197" t="e">
        <f>#REF!+#REF!</f>
        <v>#REF!</v>
      </c>
      <c r="E27" s="209">
        <f>2770/2</f>
        <v>1385</v>
      </c>
      <c r="F27" s="197">
        <f t="shared" si="2"/>
        <v>79.082</v>
      </c>
      <c r="G27" s="197">
        <f>13.736-5.969+4.25</f>
        <v>12.017</v>
      </c>
      <c r="H27" s="197">
        <v>67.065</v>
      </c>
      <c r="I27" s="8" t="e">
        <f t="shared" si="0"/>
        <v>#REF!</v>
      </c>
      <c r="J27" s="9" t="e">
        <f t="shared" si="1"/>
        <v>#REF!</v>
      </c>
      <c r="K27" s="316"/>
      <c r="L27" s="316">
        <v>22.083333333333332</v>
      </c>
      <c r="M27" s="316"/>
      <c r="O27" s="132"/>
    </row>
    <row r="28" spans="1:15" s="133" customFormat="1" ht="18" customHeight="1">
      <c r="A28" s="20">
        <v>16</v>
      </c>
      <c r="B28" s="30" t="s">
        <v>29</v>
      </c>
      <c r="C28" s="22" t="s">
        <v>11</v>
      </c>
      <c r="D28" s="197" t="e">
        <f>#REF!+#REF!</f>
        <v>#REF!</v>
      </c>
      <c r="E28" s="209">
        <f>129/2</f>
        <v>64.5</v>
      </c>
      <c r="F28" s="197">
        <f t="shared" si="2"/>
        <v>45.358999999999995</v>
      </c>
      <c r="G28" s="197">
        <f>4.219+3.678+1.583</f>
        <v>9.48</v>
      </c>
      <c r="H28" s="197">
        <f>17.924+17.955</f>
        <v>35.879</v>
      </c>
      <c r="I28" s="8" t="e">
        <f t="shared" si="0"/>
        <v>#REF!</v>
      </c>
      <c r="J28" s="9" t="e">
        <f t="shared" si="1"/>
        <v>#REF!</v>
      </c>
      <c r="K28" s="316"/>
      <c r="L28" s="316">
        <v>2</v>
      </c>
      <c r="M28" s="316"/>
      <c r="O28" s="132"/>
    </row>
    <row r="29" spans="1:15" s="133" customFormat="1" ht="18" customHeight="1">
      <c r="A29" s="20">
        <v>17</v>
      </c>
      <c r="B29" s="30" t="s">
        <v>30</v>
      </c>
      <c r="C29" s="22" t="s">
        <v>11</v>
      </c>
      <c r="D29" s="197" t="e">
        <f>#REF!+#REF!</f>
        <v>#REF!</v>
      </c>
      <c r="E29" s="209">
        <f>122/2</f>
        <v>61</v>
      </c>
      <c r="F29" s="197">
        <f t="shared" si="2"/>
        <v>83.98400000000001</v>
      </c>
      <c r="G29" s="197">
        <f>7.821+7.249+1.833</f>
        <v>16.903</v>
      </c>
      <c r="H29" s="197">
        <f>31.688+35.393</f>
        <v>67.081</v>
      </c>
      <c r="I29" s="8" t="e">
        <f t="shared" si="0"/>
        <v>#REF!</v>
      </c>
      <c r="J29" s="9" t="e">
        <f t="shared" si="1"/>
        <v>#REF!</v>
      </c>
      <c r="K29" s="316"/>
      <c r="L29" s="316">
        <v>32.666666666666664</v>
      </c>
      <c r="M29" s="316"/>
      <c r="O29" s="132"/>
    </row>
    <row r="30" spans="1:15" s="133" customFormat="1" ht="18.75" customHeight="1">
      <c r="A30" s="20">
        <v>18</v>
      </c>
      <c r="B30" s="30" t="s">
        <v>31</v>
      </c>
      <c r="C30" s="22" t="s">
        <v>11</v>
      </c>
      <c r="D30" s="197" t="e">
        <f>#REF!+#REF!</f>
        <v>#REF!</v>
      </c>
      <c r="E30" s="209">
        <f>2465/2</f>
        <v>1232.5</v>
      </c>
      <c r="F30" s="197">
        <f t="shared" si="2"/>
        <v>914.4159999999999</v>
      </c>
      <c r="G30" s="197">
        <f>115.775+18.153+34.083</f>
        <v>168.011</v>
      </c>
      <c r="H30" s="197">
        <f>657.773+88.632</f>
        <v>746.405</v>
      </c>
      <c r="I30" s="8" t="e">
        <f t="shared" si="0"/>
        <v>#REF!</v>
      </c>
      <c r="J30" s="9" t="e">
        <f t="shared" si="1"/>
        <v>#REF!</v>
      </c>
      <c r="K30" s="316"/>
      <c r="L30" s="316">
        <v>19.083333333333332</v>
      </c>
      <c r="M30" s="316"/>
      <c r="O30" s="132"/>
    </row>
    <row r="31" spans="1:15" s="133" customFormat="1" ht="15.75" customHeight="1">
      <c r="A31" s="20">
        <v>19</v>
      </c>
      <c r="B31" s="30" t="s">
        <v>32</v>
      </c>
      <c r="C31" s="22" t="s">
        <v>11</v>
      </c>
      <c r="D31" s="197" t="e">
        <f>#REF!+#REF!</f>
        <v>#REF!</v>
      </c>
      <c r="E31" s="209">
        <f>5046/2</f>
        <v>2523</v>
      </c>
      <c r="F31" s="197">
        <f t="shared" si="2"/>
        <v>3275.6369999999997</v>
      </c>
      <c r="G31" s="197">
        <f>268.423+166.661+80.083</f>
        <v>515.167</v>
      </c>
      <c r="H31" s="197">
        <f>1946.774+813.696</f>
        <v>2760.47</v>
      </c>
      <c r="I31" s="8" t="e">
        <f t="shared" si="0"/>
        <v>#REF!</v>
      </c>
      <c r="J31" s="9" t="e">
        <f t="shared" si="1"/>
        <v>#REF!</v>
      </c>
      <c r="K31" s="316"/>
      <c r="L31" s="316">
        <v>4.25</v>
      </c>
      <c r="M31" s="316"/>
      <c r="N31" s="135"/>
      <c r="O31" s="132"/>
    </row>
    <row r="32" spans="1:17" s="133" customFormat="1" ht="15.75" customHeight="1">
      <c r="A32" s="20">
        <v>20</v>
      </c>
      <c r="B32" s="30" t="s">
        <v>33</v>
      </c>
      <c r="C32" s="22" t="s">
        <v>11</v>
      </c>
      <c r="D32" s="197" t="e">
        <f>#REF!+#REF!</f>
        <v>#REF!</v>
      </c>
      <c r="E32" s="209">
        <f>786/2</f>
        <v>393</v>
      </c>
      <c r="F32" s="197">
        <f t="shared" si="2"/>
        <v>181.186</v>
      </c>
      <c r="G32" s="197">
        <f>3.675+22.783+12.083</f>
        <v>38.541000000000004</v>
      </c>
      <c r="H32" s="197">
        <f>31.41+111.235</f>
        <v>142.645</v>
      </c>
      <c r="I32" s="8" t="e">
        <f t="shared" si="0"/>
        <v>#REF!</v>
      </c>
      <c r="J32" s="9" t="e">
        <f t="shared" si="1"/>
        <v>#REF!</v>
      </c>
      <c r="K32" s="316"/>
      <c r="L32" s="316"/>
      <c r="M32" s="316"/>
      <c r="O32" s="132"/>
      <c r="Q32" s="370"/>
    </row>
    <row r="33" spans="1:17" s="133" customFormat="1" ht="15.75" customHeight="1">
      <c r="A33" s="20">
        <v>21</v>
      </c>
      <c r="B33" s="30" t="s">
        <v>34</v>
      </c>
      <c r="C33" s="22" t="s">
        <v>11</v>
      </c>
      <c r="D33" s="197" t="e">
        <f>#REF!+#REF!</f>
        <v>#REF!</v>
      </c>
      <c r="E33" s="209">
        <f>872/2</f>
        <v>436</v>
      </c>
      <c r="F33" s="197">
        <f t="shared" si="2"/>
        <v>350.2</v>
      </c>
      <c r="G33" s="197">
        <f>24+35.7+0</f>
        <v>59.7</v>
      </c>
      <c r="H33" s="197">
        <f>116.2+174.3</f>
        <v>290.5</v>
      </c>
      <c r="I33" s="8" t="e">
        <f t="shared" si="0"/>
        <v>#REF!</v>
      </c>
      <c r="J33" s="9" t="e">
        <f t="shared" si="1"/>
        <v>#REF!</v>
      </c>
      <c r="K33" s="316"/>
      <c r="L33" s="316">
        <v>53.25</v>
      </c>
      <c r="M33" s="316"/>
      <c r="O33" s="132"/>
      <c r="Q33" s="370"/>
    </row>
    <row r="34" spans="1:17" s="133" customFormat="1" ht="15.75" customHeight="1">
      <c r="A34" s="20">
        <v>22</v>
      </c>
      <c r="B34" s="30" t="s">
        <v>35</v>
      </c>
      <c r="C34" s="22" t="s">
        <v>11</v>
      </c>
      <c r="D34" s="197" t="e">
        <f>#REF!+#REF!</f>
        <v>#REF!</v>
      </c>
      <c r="E34" s="209">
        <f>783/2</f>
        <v>391.5</v>
      </c>
      <c r="F34" s="197">
        <f t="shared" si="2"/>
        <v>946.9069999999999</v>
      </c>
      <c r="G34" s="197">
        <f>43.447+44.909+22.142+19.917</f>
        <v>130.415</v>
      </c>
      <c r="H34" s="197">
        <f>489.126+219.26+108.106</f>
        <v>816.492</v>
      </c>
      <c r="I34" s="8" t="e">
        <f t="shared" si="0"/>
        <v>#REF!</v>
      </c>
      <c r="J34" s="9" t="e">
        <f t="shared" si="1"/>
        <v>#REF!</v>
      </c>
      <c r="K34" s="316"/>
      <c r="L34" s="316">
        <v>5.916666666666667</v>
      </c>
      <c r="M34" s="316"/>
      <c r="O34" s="132"/>
      <c r="Q34" s="370"/>
    </row>
    <row r="35" spans="1:17" s="133" customFormat="1" ht="16.5" customHeight="1">
      <c r="A35" s="20">
        <v>23</v>
      </c>
      <c r="B35" s="30" t="s">
        <v>36</v>
      </c>
      <c r="C35" s="22" t="s">
        <v>11</v>
      </c>
      <c r="D35" s="197" t="e">
        <f>#REF!+#REF!</f>
        <v>#REF!</v>
      </c>
      <c r="E35" s="209">
        <f>99/2</f>
        <v>49.5</v>
      </c>
      <c r="F35" s="197">
        <f t="shared" si="2"/>
        <v>575.7697900000001</v>
      </c>
      <c r="G35" s="197">
        <f>97.644-17.68921*0.17+19.083</f>
        <v>113.7198343</v>
      </c>
      <c r="H35" s="197">
        <f>476.732-17.68921*0.83</f>
        <v>462.04995570000006</v>
      </c>
      <c r="I35" s="8" t="e">
        <f t="shared" si="0"/>
        <v>#REF!</v>
      </c>
      <c r="J35" s="9" t="e">
        <f t="shared" si="1"/>
        <v>#REF!</v>
      </c>
      <c r="K35" s="316"/>
      <c r="L35" s="316">
        <v>34.083333333333336</v>
      </c>
      <c r="M35" s="316"/>
      <c r="O35" s="132"/>
      <c r="Q35" s="370"/>
    </row>
    <row r="36" spans="1:17" s="133" customFormat="1" ht="15.75" customHeight="1">
      <c r="A36" s="20">
        <v>24</v>
      </c>
      <c r="B36" s="30" t="s">
        <v>37</v>
      </c>
      <c r="C36" s="22" t="s">
        <v>11</v>
      </c>
      <c r="D36" s="197" t="e">
        <f>#REF!+#REF!</f>
        <v>#REF!</v>
      </c>
      <c r="E36" s="209">
        <f>258/2</f>
        <v>129</v>
      </c>
      <c r="F36" s="197">
        <f t="shared" si="2"/>
        <v>80.07461999999997</v>
      </c>
      <c r="G36" s="197">
        <f>58.426-(260.21064+13.73661+8.36513)*0.17+8.917</f>
        <v>19.349895399999994</v>
      </c>
      <c r="H36" s="197">
        <f>9.789+285.255-(260.21064+13.73661+8.36513)*0.83</f>
        <v>60.72472459999997</v>
      </c>
      <c r="I36" s="8" t="e">
        <f t="shared" si="0"/>
        <v>#REF!</v>
      </c>
      <c r="J36" s="9" t="e">
        <f t="shared" si="1"/>
        <v>#REF!</v>
      </c>
      <c r="K36" s="316"/>
      <c r="L36" s="316">
        <v>80.08333333333333</v>
      </c>
      <c r="M36" s="316"/>
      <c r="O36" s="132"/>
      <c r="Q36" s="370"/>
    </row>
    <row r="37" spans="1:15" s="133" customFormat="1" ht="18" customHeight="1">
      <c r="A37" s="20">
        <v>25</v>
      </c>
      <c r="B37" s="30" t="s">
        <v>38</v>
      </c>
      <c r="C37" s="22" t="s">
        <v>11</v>
      </c>
      <c r="D37" s="197" t="e">
        <f>#REF!+#REF!</f>
        <v>#REF!</v>
      </c>
      <c r="E37" s="209">
        <f>8346/2</f>
        <v>4173</v>
      </c>
      <c r="F37" s="197">
        <f t="shared" si="2"/>
        <v>5343.191000000001</v>
      </c>
      <c r="G37" s="197">
        <f>534.365+417.088+112.75</f>
        <v>1064.203</v>
      </c>
      <c r="H37" s="197">
        <f>2242.617+2036.371</f>
        <v>4278.988</v>
      </c>
      <c r="I37" s="8" t="e">
        <f t="shared" si="0"/>
        <v>#REF!</v>
      </c>
      <c r="J37" s="9" t="e">
        <f t="shared" si="1"/>
        <v>#REF!</v>
      </c>
      <c r="K37" s="316"/>
      <c r="L37" s="316">
        <v>12.083333333333334</v>
      </c>
      <c r="M37" s="316"/>
      <c r="O37" s="132"/>
    </row>
    <row r="38" spans="1:15" s="133" customFormat="1" ht="18.75" customHeight="1">
      <c r="A38" s="20">
        <v>26</v>
      </c>
      <c r="B38" s="30" t="s">
        <v>39</v>
      </c>
      <c r="C38" s="22" t="s">
        <v>11</v>
      </c>
      <c r="D38" s="197" t="e">
        <f>#REF!+#REF!</f>
        <v>#REF!</v>
      </c>
      <c r="E38" s="209">
        <f>1553/2</f>
        <v>776.5</v>
      </c>
      <c r="F38" s="197">
        <f t="shared" si="2"/>
        <v>350</v>
      </c>
      <c r="G38" s="317">
        <f>59.5+0</f>
        <v>59.5</v>
      </c>
      <c r="H38" s="197">
        <v>290.5</v>
      </c>
      <c r="I38" s="8" t="e">
        <f t="shared" si="0"/>
        <v>#REF!</v>
      </c>
      <c r="J38" s="9" t="e">
        <f t="shared" si="1"/>
        <v>#REF!</v>
      </c>
      <c r="K38" s="316"/>
      <c r="L38" s="316">
        <v>19.916666666666668</v>
      </c>
      <c r="M38" s="316"/>
      <c r="O38" s="132"/>
    </row>
    <row r="39" spans="1:15" s="133" customFormat="1" ht="16.5" customHeight="1">
      <c r="A39" s="20">
        <v>27</v>
      </c>
      <c r="B39" s="30" t="s">
        <v>40</v>
      </c>
      <c r="C39" s="22" t="s">
        <v>11</v>
      </c>
      <c r="D39" s="197" t="e">
        <f>#REF!+#REF!</f>
        <v>#REF!</v>
      </c>
      <c r="E39" s="209">
        <f>2151/2</f>
        <v>1075.5</v>
      </c>
      <c r="F39" s="197">
        <f t="shared" si="2"/>
        <v>0</v>
      </c>
      <c r="G39" s="197">
        <v>0</v>
      </c>
      <c r="H39" s="197">
        <v>0</v>
      </c>
      <c r="I39" s="8" t="e">
        <f t="shared" si="0"/>
        <v>#REF!</v>
      </c>
      <c r="J39" s="9" t="e">
        <f t="shared" si="1"/>
        <v>#REF!</v>
      </c>
      <c r="K39" s="316"/>
      <c r="L39" s="316">
        <v>8.916666666666666</v>
      </c>
      <c r="M39" s="316"/>
      <c r="O39" s="132"/>
    </row>
    <row r="40" spans="1:15" s="133" customFormat="1" ht="18" customHeight="1">
      <c r="A40" s="20">
        <v>28</v>
      </c>
      <c r="B40" s="30" t="s">
        <v>41</v>
      </c>
      <c r="C40" s="22" t="s">
        <v>11</v>
      </c>
      <c r="D40" s="197" t="e">
        <f>#REF!+#REF!</f>
        <v>#REF!</v>
      </c>
      <c r="E40" s="209">
        <f>2248/2</f>
        <v>1124</v>
      </c>
      <c r="F40" s="197">
        <f t="shared" si="2"/>
        <v>0</v>
      </c>
      <c r="G40" s="197">
        <v>0</v>
      </c>
      <c r="H40" s="197">
        <v>0</v>
      </c>
      <c r="I40" s="8" t="e">
        <f t="shared" si="0"/>
        <v>#REF!</v>
      </c>
      <c r="J40" s="9" t="e">
        <f t="shared" si="1"/>
        <v>#REF!</v>
      </c>
      <c r="K40" s="316"/>
      <c r="L40" s="316">
        <v>0</v>
      </c>
      <c r="M40" s="316"/>
      <c r="O40" s="132"/>
    </row>
    <row r="41" spans="1:15" s="133" customFormat="1" ht="16.5" customHeight="1">
      <c r="A41" s="20">
        <v>29</v>
      </c>
      <c r="B41" s="30" t="s">
        <v>42</v>
      </c>
      <c r="C41" s="22" t="s">
        <v>11</v>
      </c>
      <c r="D41" s="197" t="e">
        <f>#REF!+#REF!</f>
        <v>#REF!</v>
      </c>
      <c r="E41" s="209">
        <f>955/2</f>
        <v>477.5</v>
      </c>
      <c r="F41" s="197">
        <f t="shared" si="2"/>
        <v>229.35599999999997</v>
      </c>
      <c r="G41" s="197">
        <f>1.68+2.55+6.417</f>
        <v>10.646999999999998</v>
      </c>
      <c r="H41" s="197">
        <f>206.259+12.45</f>
        <v>218.70899999999997</v>
      </c>
      <c r="I41" s="8" t="e">
        <f t="shared" si="0"/>
        <v>#REF!</v>
      </c>
      <c r="J41" s="9" t="e">
        <f t="shared" si="1"/>
        <v>#REF!</v>
      </c>
      <c r="K41" s="316"/>
      <c r="L41" s="316">
        <v>4.083333333333333</v>
      </c>
      <c r="M41" s="316"/>
      <c r="O41" s="132"/>
    </row>
    <row r="42" spans="1:15" s="133" customFormat="1" ht="16.5" customHeight="1">
      <c r="A42" s="20">
        <v>30</v>
      </c>
      <c r="B42" s="30" t="s">
        <v>43</v>
      </c>
      <c r="C42" s="22" t="s">
        <v>11</v>
      </c>
      <c r="D42" s="197" t="e">
        <f>#REF!+#REF!</f>
        <v>#REF!</v>
      </c>
      <c r="E42" s="209">
        <f>205/2</f>
        <v>102.5</v>
      </c>
      <c r="F42" s="197">
        <f t="shared" si="2"/>
        <v>0</v>
      </c>
      <c r="G42" s="299">
        <v>0</v>
      </c>
      <c r="H42" s="197">
        <v>0</v>
      </c>
      <c r="I42" s="8" t="e">
        <f t="shared" si="0"/>
        <v>#REF!</v>
      </c>
      <c r="J42" s="9" t="e">
        <f t="shared" si="1"/>
        <v>#REF!</v>
      </c>
      <c r="K42" s="316"/>
      <c r="L42" s="316">
        <v>1.4166666666666667</v>
      </c>
      <c r="M42" s="316"/>
      <c r="O42" s="132"/>
    </row>
    <row r="43" spans="1:15" s="133" customFormat="1" ht="16.5" customHeight="1">
      <c r="A43" s="20">
        <v>31</v>
      </c>
      <c r="B43" s="30" t="s">
        <v>143</v>
      </c>
      <c r="C43" s="22" t="s">
        <v>11</v>
      </c>
      <c r="D43" s="197" t="e">
        <f>#REF!+#REF!</f>
        <v>#REF!</v>
      </c>
      <c r="E43" s="209">
        <v>0</v>
      </c>
      <c r="F43" s="197">
        <f t="shared" si="2"/>
        <v>114.397</v>
      </c>
      <c r="G43" s="197">
        <f>11.786+9.693-4.934+1.417</f>
        <v>17.962</v>
      </c>
      <c r="H43" s="197">
        <f>49.112+47.323</f>
        <v>96.435</v>
      </c>
      <c r="I43" s="8" t="e">
        <f t="shared" si="0"/>
        <v>#REF!</v>
      </c>
      <c r="J43" s="9" t="e">
        <f t="shared" si="1"/>
        <v>#REF!</v>
      </c>
      <c r="K43" s="316"/>
      <c r="L43" s="316">
        <v>6.083333333333333</v>
      </c>
      <c r="M43" s="316"/>
      <c r="O43" s="132"/>
    </row>
    <row r="44" spans="1:15" s="133" customFormat="1" ht="18" customHeight="1">
      <c r="A44" s="20">
        <v>32</v>
      </c>
      <c r="B44" s="30" t="s">
        <v>45</v>
      </c>
      <c r="C44" s="22" t="s">
        <v>11</v>
      </c>
      <c r="D44" s="197" t="e">
        <f>#REF!+#REF!</f>
        <v>#REF!</v>
      </c>
      <c r="E44" s="209">
        <f>433/2</f>
        <v>216.5</v>
      </c>
      <c r="F44" s="197">
        <f t="shared" si="2"/>
        <v>624.217</v>
      </c>
      <c r="G44" s="197">
        <f>106.038+0.466</f>
        <v>106.50399999999999</v>
      </c>
      <c r="H44" s="197">
        <v>517.713</v>
      </c>
      <c r="I44" s="8" t="e">
        <f t="shared" si="0"/>
        <v>#REF!</v>
      </c>
      <c r="J44" s="9" t="e">
        <f t="shared" si="1"/>
        <v>#REF!</v>
      </c>
      <c r="K44" s="316"/>
      <c r="L44" s="316">
        <v>19.083333333333332</v>
      </c>
      <c r="M44" s="316"/>
      <c r="O44" s="132"/>
    </row>
    <row r="45" spans="1:15" s="133" customFormat="1" ht="18" customHeight="1">
      <c r="A45" s="20">
        <v>33</v>
      </c>
      <c r="B45" s="30" t="s">
        <v>46</v>
      </c>
      <c r="C45" s="22" t="s">
        <v>11</v>
      </c>
      <c r="D45" s="197" t="e">
        <f>#REF!+#REF!</f>
        <v>#REF!</v>
      </c>
      <c r="E45" s="209">
        <f aca="true" t="shared" si="3" ref="E45:E50">112/2</f>
        <v>56</v>
      </c>
      <c r="F45" s="197">
        <f t="shared" si="2"/>
        <v>5379.102987199999</v>
      </c>
      <c r="G45" s="197">
        <f>1095.813-(3296.31184+13.42857+14.5+28.57143+1350)*0.17+53.25</f>
        <v>349.5849872</v>
      </c>
      <c r="H45" s="197">
        <f>5076.413-(13.42857+14.5+28.57143)*0.83</f>
        <v>5029.517999999999</v>
      </c>
      <c r="I45" s="8" t="e">
        <f t="shared" si="0"/>
        <v>#REF!</v>
      </c>
      <c r="J45" s="9" t="e">
        <f t="shared" si="1"/>
        <v>#REF!</v>
      </c>
      <c r="K45" s="316"/>
      <c r="L45" s="316">
        <v>7.25</v>
      </c>
      <c r="M45" s="316"/>
      <c r="O45" s="132"/>
    </row>
    <row r="46" spans="1:15" s="133" customFormat="1" ht="18" customHeight="1">
      <c r="A46" s="20">
        <v>34</v>
      </c>
      <c r="B46" s="30" t="s">
        <v>196</v>
      </c>
      <c r="C46" s="22" t="s">
        <v>11</v>
      </c>
      <c r="D46" s="197" t="e">
        <f>#REF!+#REF!</f>
        <v>#REF!</v>
      </c>
      <c r="E46" s="209">
        <f t="shared" si="3"/>
        <v>56</v>
      </c>
      <c r="F46" s="197">
        <f>G46+H46</f>
        <v>62.583</v>
      </c>
      <c r="G46" s="197">
        <f>(13.42857+28.57143+14.5)*0.17+6.083</f>
        <v>15.688</v>
      </c>
      <c r="H46" s="197">
        <f>(13.42857+28.57143+14.5)*0.83</f>
        <v>46.894999999999996</v>
      </c>
      <c r="I46" s="8" t="e">
        <f>G46-D46</f>
        <v>#REF!</v>
      </c>
      <c r="J46" s="9" t="e">
        <f>G46/D46*100</f>
        <v>#REF!</v>
      </c>
      <c r="K46" s="316"/>
      <c r="L46" s="316"/>
      <c r="M46" s="316"/>
      <c r="O46" s="132"/>
    </row>
    <row r="47" spans="1:15" s="133" customFormat="1" ht="18" customHeight="1">
      <c r="A47" s="20">
        <v>35</v>
      </c>
      <c r="B47" s="30" t="s">
        <v>197</v>
      </c>
      <c r="C47" s="22" t="s">
        <v>11</v>
      </c>
      <c r="D47" s="197" t="e">
        <f>#REF!+#REF!</f>
        <v>#REF!</v>
      </c>
      <c r="E47" s="209">
        <f t="shared" si="3"/>
        <v>56</v>
      </c>
      <c r="F47" s="197">
        <f>G47+H47</f>
        <v>224.32702999999998</v>
      </c>
      <c r="G47" s="197">
        <f>(260.21064+13.73661)*0.17-68.70322*0.17+19.083</f>
        <v>53.974485099999995</v>
      </c>
      <c r="H47" s="197">
        <f>(260.21064+13.73661)*0.83-68.70322*0.83</f>
        <v>170.3525449</v>
      </c>
      <c r="I47" s="8" t="e">
        <f>G47-D47</f>
        <v>#REF!</v>
      </c>
      <c r="J47" s="9" t="e">
        <f>G47/D47*100</f>
        <v>#REF!</v>
      </c>
      <c r="K47" s="316"/>
      <c r="L47" s="316"/>
      <c r="M47" s="316"/>
      <c r="O47" s="132"/>
    </row>
    <row r="48" spans="1:15" s="133" customFormat="1" ht="18" customHeight="1">
      <c r="A48" s="20">
        <v>36</v>
      </c>
      <c r="B48" s="30" t="s">
        <v>198</v>
      </c>
      <c r="C48" s="22" t="s">
        <v>11</v>
      </c>
      <c r="D48" s="197" t="e">
        <f>#REF!+#REF!</f>
        <v>#REF!</v>
      </c>
      <c r="E48" s="209">
        <f t="shared" si="3"/>
        <v>56</v>
      </c>
      <c r="F48" s="197">
        <f>G48+H48</f>
        <v>15.61513</v>
      </c>
      <c r="G48" s="197">
        <f>8.36513*0.17+7.25</f>
        <v>8.672072100000001</v>
      </c>
      <c r="H48" s="197">
        <f>8.36513*0.83</f>
        <v>6.9430579</v>
      </c>
      <c r="I48" s="8" t="e">
        <f>G48-D48</f>
        <v>#REF!</v>
      </c>
      <c r="J48" s="9" t="e">
        <f>G48/D48*100</f>
        <v>#REF!</v>
      </c>
      <c r="K48" s="316"/>
      <c r="L48" s="316"/>
      <c r="M48" s="316"/>
      <c r="O48" s="132"/>
    </row>
    <row r="49" spans="1:15" s="133" customFormat="1" ht="18" customHeight="1">
      <c r="A49" s="20">
        <v>37</v>
      </c>
      <c r="B49" s="30" t="s">
        <v>199</v>
      </c>
      <c r="C49" s="22" t="s">
        <v>11</v>
      </c>
      <c r="D49" s="197" t="e">
        <f>#REF!+#REF!</f>
        <v>#REF!</v>
      </c>
      <c r="E49" s="209">
        <f t="shared" si="3"/>
        <v>56</v>
      </c>
      <c r="F49" s="197">
        <f>G49+H49</f>
        <v>17.68921</v>
      </c>
      <c r="G49" s="197">
        <f>17.68921*0.17+0</f>
        <v>3.0071657000000003</v>
      </c>
      <c r="H49" s="197">
        <f>17.68921*0.83</f>
        <v>14.6820443</v>
      </c>
      <c r="I49" s="8" t="e">
        <f>G49-D49</f>
        <v>#REF!</v>
      </c>
      <c r="J49" s="9" t="e">
        <f>G49/D49*100</f>
        <v>#REF!</v>
      </c>
      <c r="K49" s="316"/>
      <c r="L49" s="316"/>
      <c r="M49" s="316"/>
      <c r="O49" s="132"/>
    </row>
    <row r="50" spans="1:15" s="133" customFormat="1" ht="30" customHeight="1" thickBot="1">
      <c r="A50" s="20">
        <v>38</v>
      </c>
      <c r="B50" s="302" t="s">
        <v>200</v>
      </c>
      <c r="C50" s="22" t="s">
        <v>11</v>
      </c>
      <c r="D50" s="197" t="e">
        <f>#REF!+#REF!</f>
        <v>#REF!</v>
      </c>
      <c r="E50" s="209">
        <f t="shared" si="3"/>
        <v>56</v>
      </c>
      <c r="F50" s="197">
        <f>G50+H50</f>
        <v>148.083</v>
      </c>
      <c r="G50" s="197">
        <f>24.48+4.083</f>
        <v>28.563000000000002</v>
      </c>
      <c r="H50" s="197">
        <v>119.52</v>
      </c>
      <c r="I50" s="8" t="e">
        <f>G50-D50</f>
        <v>#REF!</v>
      </c>
      <c r="J50" s="9" t="e">
        <f>G50/D50*100</f>
        <v>#REF!</v>
      </c>
      <c r="K50" s="316"/>
      <c r="L50" s="316"/>
      <c r="M50" s="316"/>
      <c r="O50" s="132"/>
    </row>
    <row r="51" spans="1:15" s="133" customFormat="1" ht="24.75" customHeight="1" thickBot="1">
      <c r="A51" s="180"/>
      <c r="B51" s="40" t="s">
        <v>47</v>
      </c>
      <c r="C51" s="41" t="s">
        <v>11</v>
      </c>
      <c r="D51" s="202" t="e">
        <f>SUM(D11:D21)</f>
        <v>#REF!</v>
      </c>
      <c r="E51" s="42">
        <f>E21+E20+E19+E17+E16+E15+E14+E12+E11</f>
        <v>169623</v>
      </c>
      <c r="F51" s="42">
        <f>F11+F12+F13+F14+F15+F16+F17+F19+F21+F20</f>
        <v>262910.5808282</v>
      </c>
      <c r="G51" s="42">
        <f>G11+G12+G13+G14+G15+G16+G17+G19+G21+G20</f>
        <v>45329.6696508</v>
      </c>
      <c r="H51" s="42">
        <f>H11+H12+H13+H14+H15+H16+H17+H19+H21+H20</f>
        <v>217580.9111774</v>
      </c>
      <c r="I51" s="42" t="e">
        <f t="shared" si="0"/>
        <v>#REF!</v>
      </c>
      <c r="J51" s="42" t="e">
        <f t="shared" si="1"/>
        <v>#REF!</v>
      </c>
      <c r="K51" s="316"/>
      <c r="L51" s="316"/>
      <c r="M51" s="316"/>
      <c r="O51" s="132"/>
    </row>
    <row r="52" spans="1:15" s="133" customFormat="1" ht="22.5" customHeight="1" thickBot="1">
      <c r="A52" s="43"/>
      <c r="B52" s="44" t="s">
        <v>48</v>
      </c>
      <c r="C52" s="41" t="s">
        <v>11</v>
      </c>
      <c r="D52" s="144" t="e">
        <f>SUM(D53:D69)+SUM(D75:D96)</f>
        <v>#REF!</v>
      </c>
      <c r="E52" s="45">
        <f>SUM(E53:E69)+SUM(E75:E84)</f>
        <v>722</v>
      </c>
      <c r="F52" s="45">
        <f>SUM(F53:F69)+SUM(F75:F96)</f>
        <v>12152.305573459998</v>
      </c>
      <c r="G52" s="45">
        <f>SUM(G53:G69)+SUM(G75:G96)</f>
        <v>1754.7160584000003</v>
      </c>
      <c r="H52" s="45">
        <f>SUM(H53:H69)+SUM(H75:H96)</f>
        <v>10397.589515059999</v>
      </c>
      <c r="I52" s="45" t="e">
        <f t="shared" si="0"/>
        <v>#REF!</v>
      </c>
      <c r="J52" s="45" t="e">
        <f t="shared" si="1"/>
        <v>#REF!</v>
      </c>
      <c r="K52" s="316"/>
      <c r="L52" s="316"/>
      <c r="M52" s="316"/>
      <c r="O52" s="132"/>
    </row>
    <row r="53" spans="1:15" s="133" customFormat="1" ht="18" customHeight="1">
      <c r="A53" s="46"/>
      <c r="B53" s="47" t="s">
        <v>49</v>
      </c>
      <c r="C53" s="48" t="s">
        <v>11</v>
      </c>
      <c r="D53" s="197" t="e">
        <f>#REF!+#REF!</f>
        <v>#REF!</v>
      </c>
      <c r="E53" s="262"/>
      <c r="F53" s="197">
        <f>G53+H53</f>
        <v>0</v>
      </c>
      <c r="G53" s="197"/>
      <c r="H53" s="197"/>
      <c r="I53" s="8" t="e">
        <f t="shared" si="0"/>
        <v>#REF!</v>
      </c>
      <c r="J53" s="9" t="e">
        <f t="shared" si="1"/>
        <v>#REF!</v>
      </c>
      <c r="K53" s="316"/>
      <c r="L53" s="316"/>
      <c r="M53" s="316"/>
      <c r="O53" s="132"/>
    </row>
    <row r="54" spans="1:15" s="133" customFormat="1" ht="36" customHeight="1">
      <c r="A54" s="46"/>
      <c r="B54" s="120" t="s">
        <v>126</v>
      </c>
      <c r="C54" s="22" t="s">
        <v>11</v>
      </c>
      <c r="D54" s="197" t="e">
        <f>#REF!+#REF!</f>
        <v>#REF!</v>
      </c>
      <c r="E54" s="289"/>
      <c r="F54" s="197">
        <f aca="true" t="shared" si="4" ref="F54:F91">G54+H54</f>
        <v>0</v>
      </c>
      <c r="G54" s="197"/>
      <c r="H54" s="197"/>
      <c r="I54" s="8" t="e">
        <f t="shared" si="0"/>
        <v>#REF!</v>
      </c>
      <c r="J54" s="9" t="e">
        <f t="shared" si="1"/>
        <v>#REF!</v>
      </c>
      <c r="K54" s="316"/>
      <c r="L54" s="316"/>
      <c r="M54" s="316"/>
      <c r="O54" s="132"/>
    </row>
    <row r="55" spans="1:15" s="133" customFormat="1" ht="18" customHeight="1">
      <c r="A55" s="46"/>
      <c r="B55" s="30" t="s">
        <v>43</v>
      </c>
      <c r="C55" s="22" t="s">
        <v>11</v>
      </c>
      <c r="D55" s="197" t="e">
        <f>#REF!+#REF!</f>
        <v>#REF!</v>
      </c>
      <c r="E55" s="289"/>
      <c r="F55" s="197">
        <f t="shared" si="4"/>
        <v>0</v>
      </c>
      <c r="G55" s="197"/>
      <c r="H55" s="197"/>
      <c r="I55" s="8" t="e">
        <f t="shared" si="0"/>
        <v>#REF!</v>
      </c>
      <c r="J55" s="9" t="e">
        <f t="shared" si="1"/>
        <v>#REF!</v>
      </c>
      <c r="K55" s="316"/>
      <c r="L55" s="316"/>
      <c r="M55" s="316"/>
      <c r="O55" s="132"/>
    </row>
    <row r="56" spans="1:15" s="133" customFormat="1" ht="18" customHeight="1">
      <c r="A56" s="46"/>
      <c r="B56" s="30" t="s">
        <v>44</v>
      </c>
      <c r="C56" s="22" t="s">
        <v>11</v>
      </c>
      <c r="D56" s="197" t="e">
        <f>#REF!+#REF!</f>
        <v>#REF!</v>
      </c>
      <c r="E56" s="289"/>
      <c r="F56" s="197">
        <f t="shared" si="4"/>
        <v>0</v>
      </c>
      <c r="G56" s="197"/>
      <c r="H56" s="197"/>
      <c r="I56" s="8" t="e">
        <f t="shared" si="0"/>
        <v>#REF!</v>
      </c>
      <c r="J56" s="9" t="e">
        <f t="shared" si="1"/>
        <v>#REF!</v>
      </c>
      <c r="K56" s="316"/>
      <c r="L56" s="316"/>
      <c r="M56" s="316"/>
      <c r="O56" s="132"/>
    </row>
    <row r="57" spans="1:15" s="133" customFormat="1" ht="35.25" customHeight="1">
      <c r="A57" s="50"/>
      <c r="B57" s="51" t="s">
        <v>50</v>
      </c>
      <c r="C57" s="22" t="s">
        <v>11</v>
      </c>
      <c r="D57" s="197" t="e">
        <f>#REF!+#REF!</f>
        <v>#REF!</v>
      </c>
      <c r="E57" s="289"/>
      <c r="F57" s="197">
        <f t="shared" si="4"/>
        <v>0</v>
      </c>
      <c r="G57" s="197"/>
      <c r="H57" s="197"/>
      <c r="I57" s="8" t="e">
        <f t="shared" si="0"/>
        <v>#REF!</v>
      </c>
      <c r="J57" s="9" t="e">
        <f t="shared" si="1"/>
        <v>#REF!</v>
      </c>
      <c r="K57" s="316"/>
      <c r="L57" s="316"/>
      <c r="M57" s="316"/>
      <c r="O57" s="132"/>
    </row>
    <row r="58" spans="1:15" s="133" customFormat="1" ht="16.5" customHeight="1">
      <c r="A58" s="29"/>
      <c r="B58" s="30" t="s">
        <v>51</v>
      </c>
      <c r="C58" s="22" t="s">
        <v>11</v>
      </c>
      <c r="D58" s="197" t="e">
        <f>#REF!+#REF!</f>
        <v>#REF!</v>
      </c>
      <c r="E58" s="289"/>
      <c r="F58" s="197">
        <f t="shared" si="4"/>
        <v>0</v>
      </c>
      <c r="G58" s="197"/>
      <c r="H58" s="197"/>
      <c r="I58" s="8" t="e">
        <f t="shared" si="0"/>
        <v>#REF!</v>
      </c>
      <c r="J58" s="9" t="e">
        <f t="shared" si="1"/>
        <v>#REF!</v>
      </c>
      <c r="K58" s="316"/>
      <c r="L58" s="316"/>
      <c r="M58" s="316"/>
      <c r="O58" s="132"/>
    </row>
    <row r="59" spans="1:15" s="133" customFormat="1" ht="18" customHeight="1">
      <c r="A59" s="136"/>
      <c r="B59" s="30" t="s">
        <v>52</v>
      </c>
      <c r="C59" s="22" t="s">
        <v>11</v>
      </c>
      <c r="D59" s="197" t="e">
        <f>#REF!+#REF!</f>
        <v>#REF!</v>
      </c>
      <c r="E59" s="290"/>
      <c r="F59" s="197">
        <f t="shared" si="4"/>
        <v>0</v>
      </c>
      <c r="G59" s="197"/>
      <c r="H59" s="197"/>
      <c r="I59" s="8" t="e">
        <f t="shared" si="0"/>
        <v>#REF!</v>
      </c>
      <c r="J59" s="9" t="e">
        <f t="shared" si="1"/>
        <v>#REF!</v>
      </c>
      <c r="K59" s="316"/>
      <c r="L59" s="316"/>
      <c r="M59" s="316"/>
      <c r="O59" s="132"/>
    </row>
    <row r="60" spans="1:15" s="133" customFormat="1" ht="18" customHeight="1">
      <c r="A60" s="136"/>
      <c r="B60" s="30" t="s">
        <v>53</v>
      </c>
      <c r="C60" s="22" t="s">
        <v>11</v>
      </c>
      <c r="D60" s="197" t="e">
        <f>#REF!+#REF!</f>
        <v>#REF!</v>
      </c>
      <c r="E60" s="290"/>
      <c r="F60" s="197">
        <f t="shared" si="4"/>
        <v>0</v>
      </c>
      <c r="G60" s="197"/>
      <c r="H60" s="197"/>
      <c r="I60" s="8" t="e">
        <f t="shared" si="0"/>
        <v>#REF!</v>
      </c>
      <c r="J60" s="9" t="e">
        <f t="shared" si="1"/>
        <v>#REF!</v>
      </c>
      <c r="K60" s="316"/>
      <c r="L60" s="316"/>
      <c r="M60" s="316"/>
      <c r="O60" s="132"/>
    </row>
    <row r="61" spans="1:15" s="133" customFormat="1" ht="18" customHeight="1">
      <c r="A61" s="136"/>
      <c r="B61" s="30" t="s">
        <v>46</v>
      </c>
      <c r="C61" s="22" t="s">
        <v>11</v>
      </c>
      <c r="D61" s="197" t="e">
        <f>#REF!+#REF!</f>
        <v>#REF!</v>
      </c>
      <c r="E61" s="213">
        <f>497.5</f>
        <v>497.5</v>
      </c>
      <c r="F61" s="197">
        <f t="shared" si="4"/>
        <v>830.6730128</v>
      </c>
      <c r="G61" s="197">
        <f>40.8+(3296.31184+1350)*0.17</f>
        <v>830.6730128</v>
      </c>
      <c r="H61" s="197"/>
      <c r="I61" s="8" t="e">
        <f t="shared" si="0"/>
        <v>#REF!</v>
      </c>
      <c r="J61" s="9" t="e">
        <f t="shared" si="1"/>
        <v>#REF!</v>
      </c>
      <c r="K61" s="316"/>
      <c r="L61" s="316"/>
      <c r="M61" s="316"/>
      <c r="O61" s="132"/>
    </row>
    <row r="62" spans="1:15" s="133" customFormat="1" ht="16.5" customHeight="1">
      <c r="A62" s="50"/>
      <c r="B62" s="30" t="s">
        <v>124</v>
      </c>
      <c r="C62" s="22" t="s">
        <v>11</v>
      </c>
      <c r="D62" s="197" t="e">
        <f>#REF!+#REF!</f>
        <v>#REF!</v>
      </c>
      <c r="E62" s="289"/>
      <c r="F62" s="197">
        <f t="shared" si="4"/>
        <v>0</v>
      </c>
      <c r="G62" s="197"/>
      <c r="H62" s="197"/>
      <c r="I62" s="8" t="e">
        <f t="shared" si="0"/>
        <v>#REF!</v>
      </c>
      <c r="J62" s="9" t="e">
        <f t="shared" si="1"/>
        <v>#REF!</v>
      </c>
      <c r="K62" s="316"/>
      <c r="L62" s="316"/>
      <c r="M62" s="316"/>
      <c r="O62" s="132"/>
    </row>
    <row r="63" spans="1:15" s="133" customFormat="1" ht="16.5" customHeight="1">
      <c r="A63" s="50"/>
      <c r="B63" s="30" t="s">
        <v>54</v>
      </c>
      <c r="C63" s="22" t="s">
        <v>11</v>
      </c>
      <c r="D63" s="197" t="e">
        <f>#REF!+#REF!</f>
        <v>#REF!</v>
      </c>
      <c r="E63" s="289"/>
      <c r="F63" s="197">
        <f t="shared" si="4"/>
        <v>0</v>
      </c>
      <c r="G63" s="197"/>
      <c r="H63" s="197"/>
      <c r="I63" s="8" t="e">
        <f t="shared" si="0"/>
        <v>#REF!</v>
      </c>
      <c r="J63" s="9" t="e">
        <f t="shared" si="1"/>
        <v>#REF!</v>
      </c>
      <c r="K63" s="316"/>
      <c r="L63" s="316"/>
      <c r="M63" s="316"/>
      <c r="O63" s="132"/>
    </row>
    <row r="64" spans="1:15" s="133" customFormat="1" ht="16.5" customHeight="1">
      <c r="A64" s="50"/>
      <c r="B64" s="30" t="s">
        <v>26</v>
      </c>
      <c r="C64" s="22" t="s">
        <v>11</v>
      </c>
      <c r="D64" s="197" t="e">
        <f>#REF!+#REF!</f>
        <v>#REF!</v>
      </c>
      <c r="E64" s="289"/>
      <c r="F64" s="197">
        <f t="shared" si="4"/>
        <v>5881.487</v>
      </c>
      <c r="G64" s="197">
        <f>68.354</f>
        <v>68.354</v>
      </c>
      <c r="H64" s="197">
        <v>5813.133</v>
      </c>
      <c r="I64" s="8" t="e">
        <f t="shared" si="0"/>
        <v>#REF!</v>
      </c>
      <c r="J64" s="9" t="e">
        <f t="shared" si="1"/>
        <v>#REF!</v>
      </c>
      <c r="K64" s="316"/>
      <c r="L64" s="316"/>
      <c r="M64" s="316"/>
      <c r="O64" s="132"/>
    </row>
    <row r="65" spans="1:15" s="133" customFormat="1" ht="16.5" customHeight="1">
      <c r="A65" s="50"/>
      <c r="B65" s="30" t="s">
        <v>55</v>
      </c>
      <c r="C65" s="22" t="s">
        <v>11</v>
      </c>
      <c r="D65" s="197" t="e">
        <f>#REF!+#REF!</f>
        <v>#REF!</v>
      </c>
      <c r="E65" s="289"/>
      <c r="F65" s="197">
        <f t="shared" si="4"/>
        <v>89.753</v>
      </c>
      <c r="G65" s="197">
        <v>15.258</v>
      </c>
      <c r="H65" s="197">
        <v>74.495</v>
      </c>
      <c r="I65" s="8" t="e">
        <f t="shared" si="0"/>
        <v>#REF!</v>
      </c>
      <c r="J65" s="9" t="e">
        <f t="shared" si="1"/>
        <v>#REF!</v>
      </c>
      <c r="K65" s="316"/>
      <c r="L65" s="316"/>
      <c r="M65" s="316"/>
      <c r="O65" s="132"/>
    </row>
    <row r="66" spans="1:15" s="133" customFormat="1" ht="36" customHeight="1">
      <c r="A66" s="50"/>
      <c r="B66" s="51" t="s">
        <v>117</v>
      </c>
      <c r="C66" s="22" t="s">
        <v>11</v>
      </c>
      <c r="D66" s="197" t="e">
        <f>#REF!+#REF!</f>
        <v>#REF!</v>
      </c>
      <c r="E66" s="289"/>
      <c r="F66" s="197">
        <f t="shared" si="4"/>
        <v>99.747</v>
      </c>
      <c r="G66" s="197">
        <f>99.747*0.17</f>
        <v>16.95699</v>
      </c>
      <c r="H66" s="197">
        <f>99.747*0.83</f>
        <v>82.79001</v>
      </c>
      <c r="I66" s="8" t="e">
        <f t="shared" si="0"/>
        <v>#REF!</v>
      </c>
      <c r="J66" s="9" t="e">
        <f t="shared" si="1"/>
        <v>#REF!</v>
      </c>
      <c r="K66" s="316"/>
      <c r="L66" s="316"/>
      <c r="M66" s="316"/>
      <c r="O66" s="132"/>
    </row>
    <row r="67" spans="1:15" s="133" customFormat="1" ht="18" customHeight="1" thickBot="1">
      <c r="A67" s="54"/>
      <c r="B67" s="241" t="s">
        <v>132</v>
      </c>
      <c r="C67" s="38" t="s">
        <v>11</v>
      </c>
      <c r="D67" s="197" t="e">
        <f>#REF!+#REF!</f>
        <v>#REF!</v>
      </c>
      <c r="E67" s="291"/>
      <c r="F67" s="197">
        <f t="shared" si="4"/>
        <v>0</v>
      </c>
      <c r="G67" s="197"/>
      <c r="H67" s="197"/>
      <c r="I67" s="8" t="e">
        <f t="shared" si="0"/>
        <v>#REF!</v>
      </c>
      <c r="J67" s="9" t="e">
        <f t="shared" si="1"/>
        <v>#REF!</v>
      </c>
      <c r="K67" s="316"/>
      <c r="L67" s="316"/>
      <c r="M67" s="316"/>
      <c r="O67" s="132"/>
    </row>
    <row r="68" spans="1:15" s="133" customFormat="1" ht="20.25" customHeight="1">
      <c r="A68" s="219"/>
      <c r="B68" s="221" t="s">
        <v>56</v>
      </c>
      <c r="C68" s="220" t="s">
        <v>11</v>
      </c>
      <c r="D68" s="197" t="e">
        <f>#REF!+#REF!</f>
        <v>#REF!</v>
      </c>
      <c r="E68" s="292"/>
      <c r="F68" s="197">
        <f t="shared" si="4"/>
        <v>0</v>
      </c>
      <c r="G68" s="197"/>
      <c r="H68" s="197"/>
      <c r="I68" s="8" t="e">
        <f t="shared" si="0"/>
        <v>#REF!</v>
      </c>
      <c r="J68" s="9" t="e">
        <f t="shared" si="1"/>
        <v>#REF!</v>
      </c>
      <c r="K68" s="316"/>
      <c r="L68" s="316"/>
      <c r="M68" s="316"/>
      <c r="O68" s="132"/>
    </row>
    <row r="69" spans="1:15" s="133" customFormat="1" ht="18" customHeight="1" thickBot="1">
      <c r="A69" s="84"/>
      <c r="B69" s="218" t="s">
        <v>57</v>
      </c>
      <c r="C69" s="199" t="s">
        <v>11</v>
      </c>
      <c r="D69" s="197" t="e">
        <f>SUM(D70:D74)</f>
        <v>#REF!</v>
      </c>
      <c r="E69" s="293">
        <f>SUM(E70:E74)</f>
        <v>0</v>
      </c>
      <c r="F69" s="293">
        <f>SUM(F70:F74)</f>
        <v>4697.720499999999</v>
      </c>
      <c r="G69" s="293">
        <f>SUM(G70:G74)</f>
        <v>655.7763500000001</v>
      </c>
      <c r="H69" s="293">
        <f>SUM(H70:H74)</f>
        <v>4041.94415</v>
      </c>
      <c r="I69" s="8" t="e">
        <f t="shared" si="0"/>
        <v>#REF!</v>
      </c>
      <c r="J69" s="9" t="e">
        <f t="shared" si="1"/>
        <v>#REF!</v>
      </c>
      <c r="K69" s="316"/>
      <c r="L69" s="316"/>
      <c r="M69" s="316"/>
      <c r="O69" s="132"/>
    </row>
    <row r="70" spans="1:15" s="133" customFormat="1" ht="16.5" customHeight="1">
      <c r="A70" s="219"/>
      <c r="B70" s="273" t="s">
        <v>58</v>
      </c>
      <c r="C70" s="220" t="s">
        <v>11</v>
      </c>
      <c r="D70" s="197" t="e">
        <f>#REF!+#REF!</f>
        <v>#REF!</v>
      </c>
      <c r="E70" s="294"/>
      <c r="F70" s="197">
        <f t="shared" si="4"/>
        <v>299.1949</v>
      </c>
      <c r="G70" s="197">
        <f>21.9606+21.81606</f>
        <v>43.77666</v>
      </c>
      <c r="H70" s="197">
        <f>148.8894+106.52884</f>
        <v>255.41824</v>
      </c>
      <c r="I70" s="8" t="e">
        <f t="shared" si="0"/>
        <v>#REF!</v>
      </c>
      <c r="J70" s="9" t="e">
        <f t="shared" si="1"/>
        <v>#REF!</v>
      </c>
      <c r="K70" s="316"/>
      <c r="L70" s="316"/>
      <c r="M70" s="316"/>
      <c r="N70" s="137"/>
      <c r="O70" s="132"/>
    </row>
    <row r="71" spans="1:15" s="133" customFormat="1" ht="16.5" customHeight="1">
      <c r="A71" s="50"/>
      <c r="B71" s="273" t="s">
        <v>59</v>
      </c>
      <c r="C71" s="22" t="s">
        <v>11</v>
      </c>
      <c r="D71" s="197" t="e">
        <f>#REF!+#REF!</f>
        <v>#REF!</v>
      </c>
      <c r="E71" s="288"/>
      <c r="F71" s="197">
        <f t="shared" si="4"/>
        <v>1650.4845999999998</v>
      </c>
      <c r="G71" s="197">
        <f>159.395+66.88+19.8356</f>
        <v>246.1106</v>
      </c>
      <c r="H71" s="197">
        <f>955.605+341.12+96.8444+10.8046</f>
        <v>1404.3739999999998</v>
      </c>
      <c r="I71" s="8" t="e">
        <f t="shared" si="0"/>
        <v>#REF!</v>
      </c>
      <c r="J71" s="9" t="e">
        <f t="shared" si="1"/>
        <v>#REF!</v>
      </c>
      <c r="K71" s="316"/>
      <c r="L71" s="316"/>
      <c r="M71" s="316"/>
      <c r="N71" s="137"/>
      <c r="O71" s="132"/>
    </row>
    <row r="72" spans="1:15" s="133" customFormat="1" ht="42" customHeight="1">
      <c r="A72" s="46"/>
      <c r="B72" s="282" t="s">
        <v>149</v>
      </c>
      <c r="C72" s="48" t="s">
        <v>11</v>
      </c>
      <c r="D72" s="197" t="e">
        <f>#REF!+#REF!</f>
        <v>#REF!</v>
      </c>
      <c r="E72" s="295"/>
      <c r="F72" s="197">
        <f t="shared" si="4"/>
        <v>0</v>
      </c>
      <c r="G72" s="197">
        <v>0</v>
      </c>
      <c r="H72" s="197">
        <v>0</v>
      </c>
      <c r="I72" s="8" t="e">
        <f t="shared" si="0"/>
        <v>#REF!</v>
      </c>
      <c r="J72" s="9" t="e">
        <f t="shared" si="1"/>
        <v>#REF!</v>
      </c>
      <c r="K72" s="316"/>
      <c r="L72" s="316"/>
      <c r="M72" s="316"/>
      <c r="N72" s="137"/>
      <c r="O72" s="132"/>
    </row>
    <row r="73" spans="1:16" s="133" customFormat="1" ht="33" customHeight="1">
      <c r="A73" s="46"/>
      <c r="B73" s="282" t="s">
        <v>159</v>
      </c>
      <c r="C73" s="48" t="s">
        <v>11</v>
      </c>
      <c r="D73" s="197" t="e">
        <f>#REF!+#REF!</f>
        <v>#REF!</v>
      </c>
      <c r="E73" s="295"/>
      <c r="F73" s="197">
        <f t="shared" si="4"/>
        <v>535.7782</v>
      </c>
      <c r="G73" s="197">
        <v>61.78602</v>
      </c>
      <c r="H73" s="197">
        <v>473.99218</v>
      </c>
      <c r="I73" s="8" t="e">
        <f t="shared" si="0"/>
        <v>#REF!</v>
      </c>
      <c r="J73" s="9" t="e">
        <f t="shared" si="1"/>
        <v>#REF!</v>
      </c>
      <c r="K73" s="316"/>
      <c r="L73" s="316"/>
      <c r="M73" s="316"/>
      <c r="N73" s="137"/>
      <c r="O73" s="132"/>
      <c r="P73" s="135"/>
    </row>
    <row r="74" spans="1:16" s="133" customFormat="1" ht="26.25" customHeight="1">
      <c r="A74" s="50"/>
      <c r="B74" s="282" t="s">
        <v>157</v>
      </c>
      <c r="C74" s="22" t="s">
        <v>11</v>
      </c>
      <c r="D74" s="197" t="e">
        <f>#REF!+#REF!</f>
        <v>#REF!</v>
      </c>
      <c r="E74" s="296"/>
      <c r="F74" s="197">
        <f t="shared" si="4"/>
        <v>2212.2628</v>
      </c>
      <c r="G74" s="197">
        <f>17.81015+12.38779+273.90513</f>
        <v>304.10307</v>
      </c>
      <c r="H74" s="197">
        <f>86.95545+78.92506+1742.27922</f>
        <v>1908.1597299999999</v>
      </c>
      <c r="I74" s="8" t="e">
        <f t="shared" si="0"/>
        <v>#REF!</v>
      </c>
      <c r="J74" s="9" t="e">
        <f t="shared" si="1"/>
        <v>#REF!</v>
      </c>
      <c r="K74" s="316"/>
      <c r="L74" s="316"/>
      <c r="M74" s="316"/>
      <c r="N74" s="137"/>
      <c r="O74" s="132"/>
      <c r="P74" s="135"/>
    </row>
    <row r="75" spans="1:16" s="133" customFormat="1" ht="18" customHeight="1">
      <c r="A75" s="136"/>
      <c r="B75" s="78" t="s">
        <v>60</v>
      </c>
      <c r="C75" s="22" t="s">
        <v>11</v>
      </c>
      <c r="D75" s="197" t="e">
        <f>#REF!+#REF!</f>
        <v>#REF!</v>
      </c>
      <c r="E75" s="290"/>
      <c r="F75" s="197">
        <f t="shared" si="4"/>
        <v>38.134439</v>
      </c>
      <c r="G75" s="197">
        <v>38.134439</v>
      </c>
      <c r="H75" s="197"/>
      <c r="I75" s="8" t="e">
        <f t="shared" si="0"/>
        <v>#REF!</v>
      </c>
      <c r="J75" s="9" t="e">
        <f t="shared" si="1"/>
        <v>#REF!</v>
      </c>
      <c r="K75" s="316"/>
      <c r="L75" s="316"/>
      <c r="M75" s="316"/>
      <c r="O75" s="138"/>
      <c r="P75" s="135"/>
    </row>
    <row r="76" spans="1:15" s="133" customFormat="1" ht="18" customHeight="1">
      <c r="A76" s="136"/>
      <c r="B76" s="78" t="s">
        <v>125</v>
      </c>
      <c r="C76" s="22" t="s">
        <v>11</v>
      </c>
      <c r="D76" s="197" t="e">
        <f>#REF!+#REF!</f>
        <v>#REF!</v>
      </c>
      <c r="E76" s="213">
        <v>50</v>
      </c>
      <c r="F76" s="197">
        <f t="shared" si="4"/>
        <v>0</v>
      </c>
      <c r="G76" s="197"/>
      <c r="H76" s="197"/>
      <c r="I76" s="8" t="e">
        <f t="shared" si="0"/>
        <v>#REF!</v>
      </c>
      <c r="J76" s="9" t="e">
        <f t="shared" si="1"/>
        <v>#REF!</v>
      </c>
      <c r="K76" s="316"/>
      <c r="L76" s="316"/>
      <c r="M76" s="316"/>
      <c r="O76" s="132"/>
    </row>
    <row r="77" spans="1:15" s="133" customFormat="1" ht="18" customHeight="1">
      <c r="A77" s="136"/>
      <c r="B77" s="78" t="s">
        <v>61</v>
      </c>
      <c r="C77" s="22" t="s">
        <v>11</v>
      </c>
      <c r="D77" s="197" t="e">
        <f>#REF!+#REF!</f>
        <v>#REF!</v>
      </c>
      <c r="E77" s="213"/>
      <c r="F77" s="197">
        <f t="shared" si="4"/>
        <v>0</v>
      </c>
      <c r="G77" s="197"/>
      <c r="H77" s="197"/>
      <c r="I77" s="8" t="e">
        <f t="shared" si="0"/>
        <v>#REF!</v>
      </c>
      <c r="J77" s="9" t="e">
        <f t="shared" si="1"/>
        <v>#REF!</v>
      </c>
      <c r="K77" s="316"/>
      <c r="L77" s="316"/>
      <c r="M77" s="316"/>
      <c r="O77" s="132"/>
    </row>
    <row r="78" spans="1:15" s="133" customFormat="1" ht="18" customHeight="1">
      <c r="A78" s="136"/>
      <c r="B78" s="78" t="s">
        <v>62</v>
      </c>
      <c r="C78" s="22" t="s">
        <v>11</v>
      </c>
      <c r="D78" s="197" t="e">
        <f>#REF!+#REF!</f>
        <v>#REF!</v>
      </c>
      <c r="E78" s="213"/>
      <c r="F78" s="197">
        <f t="shared" si="4"/>
        <v>120.65299999999999</v>
      </c>
      <c r="G78" s="197">
        <v>20.511</v>
      </c>
      <c r="H78" s="197">
        <v>100.142</v>
      </c>
      <c r="I78" s="8" t="e">
        <f aca="true" t="shared" si="5" ref="I78:I109">G78-D78</f>
        <v>#REF!</v>
      </c>
      <c r="J78" s="9" t="e">
        <f aca="true" t="shared" si="6" ref="J78:J109">G78/D78*100</f>
        <v>#REF!</v>
      </c>
      <c r="K78" s="316"/>
      <c r="L78" s="316"/>
      <c r="M78" s="316"/>
      <c r="O78" s="132"/>
    </row>
    <row r="79" spans="1:15" s="133" customFormat="1" ht="35.25" customHeight="1">
      <c r="A79" s="136"/>
      <c r="B79" s="139" t="s">
        <v>63</v>
      </c>
      <c r="C79" s="22" t="s">
        <v>11</v>
      </c>
      <c r="D79" s="197" t="e">
        <f>#REF!+#REF!</f>
        <v>#REF!</v>
      </c>
      <c r="E79" s="213"/>
      <c r="F79" s="197">
        <f t="shared" si="4"/>
        <v>0</v>
      </c>
      <c r="G79" s="197"/>
      <c r="H79" s="197"/>
      <c r="I79" s="8" t="e">
        <f t="shared" si="5"/>
        <v>#REF!</v>
      </c>
      <c r="J79" s="9" t="e">
        <f t="shared" si="6"/>
        <v>#REF!</v>
      </c>
      <c r="K79" s="316"/>
      <c r="L79" s="316"/>
      <c r="M79" s="316"/>
      <c r="O79" s="132"/>
    </row>
    <row r="80" spans="1:15" s="133" customFormat="1" ht="24" customHeight="1">
      <c r="A80" s="136"/>
      <c r="B80" s="139" t="s">
        <v>211</v>
      </c>
      <c r="C80" s="22" t="s">
        <v>11</v>
      </c>
      <c r="D80" s="197" t="e">
        <f>#REF!+#REF!</f>
        <v>#REF!</v>
      </c>
      <c r="E80" s="213"/>
      <c r="F80" s="197">
        <f t="shared" si="4"/>
        <v>150.00048</v>
      </c>
      <c r="G80" s="197">
        <f>150.00048*0.17</f>
        <v>25.500081600000005</v>
      </c>
      <c r="H80" s="197">
        <f>150.00048*0.83</f>
        <v>124.50039840000001</v>
      </c>
      <c r="I80" s="8" t="e">
        <f t="shared" si="5"/>
        <v>#REF!</v>
      </c>
      <c r="J80" s="9" t="e">
        <f t="shared" si="6"/>
        <v>#REF!</v>
      </c>
      <c r="K80" s="316"/>
      <c r="L80" s="316"/>
      <c r="M80" s="316"/>
      <c r="O80" s="132"/>
    </row>
    <row r="81" spans="1:15" s="133" customFormat="1" ht="18" customHeight="1">
      <c r="A81" s="136"/>
      <c r="B81" s="139" t="s">
        <v>64</v>
      </c>
      <c r="C81" s="22" t="s">
        <v>11</v>
      </c>
      <c r="D81" s="197" t="e">
        <f>#REF!+#REF!</f>
        <v>#REF!</v>
      </c>
      <c r="E81" s="213">
        <v>50</v>
      </c>
      <c r="F81" s="197">
        <f t="shared" si="4"/>
        <v>36</v>
      </c>
      <c r="G81" s="197">
        <f>(21+15)*0.17</f>
        <v>6.12</v>
      </c>
      <c r="H81" s="197">
        <f>(21+15)*0.83</f>
        <v>29.88</v>
      </c>
      <c r="I81" s="8" t="e">
        <f t="shared" si="5"/>
        <v>#REF!</v>
      </c>
      <c r="J81" s="9" t="e">
        <f t="shared" si="6"/>
        <v>#REF!</v>
      </c>
      <c r="K81" s="316"/>
      <c r="L81" s="316"/>
      <c r="M81" s="316"/>
      <c r="O81" s="132"/>
    </row>
    <row r="82" spans="1:15" s="133" customFormat="1" ht="36.75" customHeight="1">
      <c r="A82" s="136"/>
      <c r="B82" s="62" t="s">
        <v>65</v>
      </c>
      <c r="C82" s="22" t="s">
        <v>11</v>
      </c>
      <c r="D82" s="197" t="e">
        <f>#REF!+#REF!</f>
        <v>#REF!</v>
      </c>
      <c r="E82" s="213"/>
      <c r="F82" s="197">
        <f t="shared" si="4"/>
        <v>0</v>
      </c>
      <c r="G82" s="197"/>
      <c r="H82" s="197"/>
      <c r="I82" s="8" t="e">
        <f t="shared" si="5"/>
        <v>#REF!</v>
      </c>
      <c r="J82" s="9" t="e">
        <f t="shared" si="6"/>
        <v>#REF!</v>
      </c>
      <c r="K82" s="316"/>
      <c r="L82" s="316"/>
      <c r="M82" s="316"/>
      <c r="O82" s="132"/>
    </row>
    <row r="83" spans="1:15" s="133" customFormat="1" ht="22.5" customHeight="1">
      <c r="A83" s="136"/>
      <c r="B83" s="62" t="s">
        <v>66</v>
      </c>
      <c r="C83" s="22" t="s">
        <v>11</v>
      </c>
      <c r="D83" s="197" t="e">
        <f>#REF!+#REF!</f>
        <v>#REF!</v>
      </c>
      <c r="E83" s="290"/>
      <c r="F83" s="197">
        <f t="shared" si="4"/>
        <v>27.78</v>
      </c>
      <c r="G83" s="197">
        <f>27.78*0.17</f>
        <v>4.722600000000001</v>
      </c>
      <c r="H83" s="197">
        <f>27.78*0.83</f>
        <v>23.0574</v>
      </c>
      <c r="I83" s="8" t="e">
        <f t="shared" si="5"/>
        <v>#REF!</v>
      </c>
      <c r="J83" s="9" t="e">
        <f t="shared" si="6"/>
        <v>#REF!</v>
      </c>
      <c r="K83" s="316"/>
      <c r="L83" s="316"/>
      <c r="M83" s="316"/>
      <c r="O83" s="132"/>
    </row>
    <row r="84" spans="1:15" s="133" customFormat="1" ht="22.5" customHeight="1">
      <c r="A84" s="136"/>
      <c r="B84" s="62" t="s">
        <v>67</v>
      </c>
      <c r="C84" s="22" t="s">
        <v>11</v>
      </c>
      <c r="D84" s="197" t="e">
        <f>#REF!+#REF!</f>
        <v>#REF!</v>
      </c>
      <c r="E84" s="213">
        <f>249/2</f>
        <v>124.5</v>
      </c>
      <c r="F84" s="197">
        <f t="shared" si="4"/>
        <v>4.934</v>
      </c>
      <c r="G84" s="197">
        <v>4.934</v>
      </c>
      <c r="H84" s="197"/>
      <c r="I84" s="8" t="e">
        <f t="shared" si="5"/>
        <v>#REF!</v>
      </c>
      <c r="J84" s="9" t="e">
        <f t="shared" si="6"/>
        <v>#REF!</v>
      </c>
      <c r="K84" s="316"/>
      <c r="L84" s="316"/>
      <c r="M84" s="316"/>
      <c r="O84" s="132"/>
    </row>
    <row r="85" spans="1:15" s="133" customFormat="1" ht="22.5" customHeight="1">
      <c r="A85" s="136"/>
      <c r="B85" s="62" t="s">
        <v>133</v>
      </c>
      <c r="C85" s="22" t="s">
        <v>11</v>
      </c>
      <c r="D85" s="197" t="e">
        <f>#REF!+#REF!</f>
        <v>#REF!</v>
      </c>
      <c r="E85" s="290"/>
      <c r="F85" s="197">
        <f t="shared" si="4"/>
        <v>0</v>
      </c>
      <c r="G85" s="197"/>
      <c r="H85" s="197"/>
      <c r="I85" s="8" t="e">
        <f t="shared" si="5"/>
        <v>#REF!</v>
      </c>
      <c r="J85" s="9" t="e">
        <f t="shared" si="6"/>
        <v>#REF!</v>
      </c>
      <c r="K85" s="316"/>
      <c r="L85" s="316"/>
      <c r="M85" s="316"/>
      <c r="O85" s="132"/>
    </row>
    <row r="86" spans="1:15" s="133" customFormat="1" ht="22.5" customHeight="1">
      <c r="A86" s="136"/>
      <c r="B86" s="62" t="s">
        <v>34</v>
      </c>
      <c r="C86" s="22" t="s">
        <v>11</v>
      </c>
      <c r="D86" s="197" t="e">
        <f>#REF!+#REF!</f>
        <v>#REF!</v>
      </c>
      <c r="E86" s="290"/>
      <c r="F86" s="197">
        <f t="shared" si="4"/>
        <v>0</v>
      </c>
      <c r="G86" s="197"/>
      <c r="H86" s="197"/>
      <c r="I86" s="8" t="e">
        <f t="shared" si="5"/>
        <v>#REF!</v>
      </c>
      <c r="J86" s="9" t="e">
        <f t="shared" si="6"/>
        <v>#REF!</v>
      </c>
      <c r="K86" s="316"/>
      <c r="L86" s="316"/>
      <c r="M86" s="316"/>
      <c r="O86" s="132"/>
    </row>
    <row r="87" spans="1:15" s="133" customFormat="1" ht="22.5" customHeight="1">
      <c r="A87" s="136"/>
      <c r="B87" s="62" t="s">
        <v>68</v>
      </c>
      <c r="C87" s="22" t="s">
        <v>11</v>
      </c>
      <c r="D87" s="197" t="e">
        <f>#REF!+#REF!</f>
        <v>#REF!</v>
      </c>
      <c r="E87" s="290"/>
      <c r="F87" s="197">
        <f t="shared" si="4"/>
        <v>0</v>
      </c>
      <c r="G87" s="197"/>
      <c r="H87" s="197"/>
      <c r="I87" s="8" t="e">
        <f t="shared" si="5"/>
        <v>#REF!</v>
      </c>
      <c r="J87" s="9" t="e">
        <f t="shared" si="6"/>
        <v>#REF!</v>
      </c>
      <c r="K87" s="316"/>
      <c r="L87" s="316"/>
      <c r="M87" s="316"/>
      <c r="O87" s="132"/>
    </row>
    <row r="88" spans="1:15" s="133" customFormat="1" ht="22.5" customHeight="1">
      <c r="A88" s="136"/>
      <c r="B88" s="62" t="s">
        <v>69</v>
      </c>
      <c r="C88" s="22" t="s">
        <v>11</v>
      </c>
      <c r="D88" s="197" t="e">
        <f>#REF!+#REF!</f>
        <v>#REF!</v>
      </c>
      <c r="E88" s="290"/>
      <c r="F88" s="197">
        <f t="shared" si="4"/>
        <v>0</v>
      </c>
      <c r="G88" s="197"/>
      <c r="H88" s="197"/>
      <c r="I88" s="8" t="e">
        <f t="shared" si="5"/>
        <v>#REF!</v>
      </c>
      <c r="J88" s="9" t="e">
        <f t="shared" si="6"/>
        <v>#REF!</v>
      </c>
      <c r="K88" s="316"/>
      <c r="L88" s="316"/>
      <c r="M88" s="316"/>
      <c r="O88" s="132"/>
    </row>
    <row r="89" spans="1:15" s="133" customFormat="1" ht="22.5" customHeight="1">
      <c r="A89" s="136"/>
      <c r="B89" s="62" t="s">
        <v>144</v>
      </c>
      <c r="C89" s="22" t="s">
        <v>11</v>
      </c>
      <c r="D89" s="197" t="e">
        <f>#REF!+#REF!</f>
        <v>#REF!</v>
      </c>
      <c r="E89" s="290"/>
      <c r="F89" s="197">
        <f t="shared" si="4"/>
        <v>0</v>
      </c>
      <c r="G89" s="197"/>
      <c r="H89" s="197"/>
      <c r="I89" s="8" t="e">
        <f t="shared" si="5"/>
        <v>#REF!</v>
      </c>
      <c r="J89" s="9" t="e">
        <f t="shared" si="6"/>
        <v>#REF!</v>
      </c>
      <c r="K89" s="316"/>
      <c r="L89" s="316"/>
      <c r="M89" s="316"/>
      <c r="O89" s="132"/>
    </row>
    <row r="90" spans="1:15" s="133" customFormat="1" ht="22.5" customHeight="1">
      <c r="A90" s="136"/>
      <c r="B90" s="62" t="s">
        <v>70</v>
      </c>
      <c r="C90" s="22" t="s">
        <v>11</v>
      </c>
      <c r="D90" s="197" t="e">
        <f>#REF!+#REF!</f>
        <v>#REF!</v>
      </c>
      <c r="E90" s="290"/>
      <c r="F90" s="197">
        <f t="shared" si="4"/>
        <v>0</v>
      </c>
      <c r="G90" s="197"/>
      <c r="H90" s="197"/>
      <c r="I90" s="8" t="e">
        <f t="shared" si="5"/>
        <v>#REF!</v>
      </c>
      <c r="J90" s="9" t="e">
        <f t="shared" si="6"/>
        <v>#REF!</v>
      </c>
      <c r="K90" s="316"/>
      <c r="L90" s="316"/>
      <c r="M90" s="316"/>
      <c r="O90" s="132"/>
    </row>
    <row r="91" spans="1:15" s="133" customFormat="1" ht="22.5" customHeight="1">
      <c r="A91" s="136"/>
      <c r="B91" s="62" t="s">
        <v>71</v>
      </c>
      <c r="C91" s="22" t="s">
        <v>11</v>
      </c>
      <c r="D91" s="197" t="e">
        <f>#REF!+#REF!</f>
        <v>#REF!</v>
      </c>
      <c r="E91" s="290"/>
      <c r="F91" s="197">
        <f t="shared" si="4"/>
        <v>0</v>
      </c>
      <c r="G91" s="197"/>
      <c r="H91" s="197"/>
      <c r="I91" s="8" t="e">
        <f t="shared" si="5"/>
        <v>#REF!</v>
      </c>
      <c r="J91" s="9" t="e">
        <f t="shared" si="6"/>
        <v>#REF!</v>
      </c>
      <c r="K91" s="316"/>
      <c r="L91" s="316"/>
      <c r="M91" s="316"/>
      <c r="O91" s="132"/>
    </row>
    <row r="92" spans="1:15" s="133" customFormat="1" ht="22.5" customHeight="1">
      <c r="A92" s="136"/>
      <c r="B92" s="62" t="s">
        <v>152</v>
      </c>
      <c r="C92" s="22" t="s">
        <v>11</v>
      </c>
      <c r="D92" s="197" t="e">
        <f>#REF!+#REF!</f>
        <v>#REF!</v>
      </c>
      <c r="E92" s="290"/>
      <c r="F92" s="197">
        <f>G92+H92</f>
        <v>0</v>
      </c>
      <c r="G92" s="197"/>
      <c r="H92" s="197"/>
      <c r="I92" s="8" t="e">
        <f t="shared" si="5"/>
        <v>#REF!</v>
      </c>
      <c r="J92" s="9" t="e">
        <f t="shared" si="6"/>
        <v>#REF!</v>
      </c>
      <c r="K92" s="316"/>
      <c r="L92" s="316"/>
      <c r="M92" s="316"/>
      <c r="O92" s="132"/>
    </row>
    <row r="93" spans="1:15" s="133" customFormat="1" ht="22.5" customHeight="1">
      <c r="A93" s="136"/>
      <c r="B93" s="279" t="s">
        <v>154</v>
      </c>
      <c r="C93" s="22" t="s">
        <v>11</v>
      </c>
      <c r="D93" s="197" t="e">
        <f>#REF!+#REF!</f>
        <v>#REF!</v>
      </c>
      <c r="E93" s="290"/>
      <c r="F93" s="197">
        <f>G93+H93</f>
        <v>0</v>
      </c>
      <c r="G93" s="197"/>
      <c r="H93" s="197"/>
      <c r="I93" s="8" t="e">
        <f t="shared" si="5"/>
        <v>#REF!</v>
      </c>
      <c r="J93" s="9" t="e">
        <f t="shared" si="6"/>
        <v>#REF!</v>
      </c>
      <c r="K93" s="316"/>
      <c r="L93" s="316"/>
      <c r="M93" s="316"/>
      <c r="O93" s="132"/>
    </row>
    <row r="94" spans="1:15" s="133" customFormat="1" ht="22.5" customHeight="1">
      <c r="A94" s="136"/>
      <c r="B94" s="279" t="s">
        <v>158</v>
      </c>
      <c r="C94" s="22" t="s">
        <v>11</v>
      </c>
      <c r="D94" s="197" t="e">
        <f>#REF!+#REF!</f>
        <v>#REF!</v>
      </c>
      <c r="E94" s="290"/>
      <c r="F94" s="197">
        <f>G94+H94</f>
        <v>175.42314166</v>
      </c>
      <c r="G94" s="197">
        <f>(28.05528+28.564)*0.17+0.48176+5.969+40.02+68.70322*0.17</f>
        <v>67.775585</v>
      </c>
      <c r="H94" s="197">
        <f>(28.05528+28.564+68.703222)*0.83+3.62988</f>
        <v>107.64755665999999</v>
      </c>
      <c r="I94" s="8" t="e">
        <f t="shared" si="5"/>
        <v>#REF!</v>
      </c>
      <c r="J94" s="9" t="e">
        <f t="shared" si="6"/>
        <v>#REF!</v>
      </c>
      <c r="K94" s="316"/>
      <c r="L94" s="316"/>
      <c r="M94" s="316"/>
      <c r="O94" s="132"/>
    </row>
    <row r="95" spans="1:15" s="133" customFormat="1" ht="22.5" customHeight="1">
      <c r="A95" s="136"/>
      <c r="B95" s="279" t="s">
        <v>40</v>
      </c>
      <c r="C95" s="22" t="s">
        <v>11</v>
      </c>
      <c r="D95" s="197" t="e">
        <f>#REF!+#REF!</f>
        <v>#REF!</v>
      </c>
      <c r="E95" s="290"/>
      <c r="F95" s="197">
        <f>G95+H95</f>
        <v>0</v>
      </c>
      <c r="G95" s="197"/>
      <c r="H95" s="197"/>
      <c r="I95" s="8" t="e">
        <f t="shared" si="5"/>
        <v>#REF!</v>
      </c>
      <c r="J95" s="9" t="e">
        <f t="shared" si="6"/>
        <v>#REF!</v>
      </c>
      <c r="K95" s="316"/>
      <c r="L95" s="316"/>
      <c r="M95" s="316"/>
      <c r="O95" s="132"/>
    </row>
    <row r="96" spans="1:15" s="133" customFormat="1" ht="36" customHeight="1" thickBot="1">
      <c r="A96" s="136"/>
      <c r="B96" s="62" t="s">
        <v>72</v>
      </c>
      <c r="C96" s="22" t="s">
        <v>11</v>
      </c>
      <c r="D96" s="197" t="e">
        <f>#REF!+#REF!</f>
        <v>#REF!</v>
      </c>
      <c r="E96" s="260"/>
      <c r="F96" s="197">
        <f>G96+H96</f>
        <v>0</v>
      </c>
      <c r="G96" s="197"/>
      <c r="H96" s="197"/>
      <c r="I96" s="8" t="e">
        <f t="shared" si="5"/>
        <v>#REF!</v>
      </c>
      <c r="J96" s="9" t="e">
        <f t="shared" si="6"/>
        <v>#REF!</v>
      </c>
      <c r="K96" s="316"/>
      <c r="L96" s="316"/>
      <c r="M96" s="316"/>
      <c r="O96" s="132"/>
    </row>
    <row r="97" spans="1:15" s="133" customFormat="1" ht="20.25" customHeight="1" thickBot="1">
      <c r="A97" s="180"/>
      <c r="B97" s="44" t="s">
        <v>73</v>
      </c>
      <c r="C97" s="200" t="s">
        <v>11</v>
      </c>
      <c r="D97" s="201" t="e">
        <f>D52+D51</f>
        <v>#REF!</v>
      </c>
      <c r="E97" s="201">
        <f>E52+E51</f>
        <v>170345</v>
      </c>
      <c r="F97" s="201">
        <f>F51+F52</f>
        <v>275062.88640166</v>
      </c>
      <c r="G97" s="201">
        <f>G51+G52</f>
        <v>47084.3857092</v>
      </c>
      <c r="H97" s="201">
        <f>H51+H52</f>
        <v>227978.50069246002</v>
      </c>
      <c r="I97" s="201" t="e">
        <f t="shared" si="5"/>
        <v>#REF!</v>
      </c>
      <c r="J97" s="201" t="e">
        <f t="shared" si="6"/>
        <v>#REF!</v>
      </c>
      <c r="K97" s="316"/>
      <c r="L97" s="316"/>
      <c r="M97" s="316"/>
      <c r="O97" s="132"/>
    </row>
    <row r="98" spans="1:15" s="133" customFormat="1" ht="34.5" customHeight="1" thickBot="1">
      <c r="A98" s="63"/>
      <c r="B98" s="64" t="s">
        <v>74</v>
      </c>
      <c r="C98" s="65" t="s">
        <v>75</v>
      </c>
      <c r="D98" s="197" t="e">
        <f>#REF!+#REF!</f>
        <v>#REF!</v>
      </c>
      <c r="E98" s="65">
        <f>928781/2</f>
        <v>464390.5</v>
      </c>
      <c r="F98" s="65"/>
      <c r="G98" s="305">
        <f>698.213+16.6</f>
        <v>714.813</v>
      </c>
      <c r="H98" s="197">
        <v>443370.134</v>
      </c>
      <c r="I98" s="8" t="e">
        <f t="shared" si="5"/>
        <v>#REF!</v>
      </c>
      <c r="J98" s="9" t="e">
        <f t="shared" si="6"/>
        <v>#REF!</v>
      </c>
      <c r="K98" s="316"/>
      <c r="L98" s="316"/>
      <c r="M98" s="316"/>
      <c r="N98" s="133">
        <f>G98*G99</f>
        <v>47084.3857092</v>
      </c>
      <c r="O98" s="132"/>
    </row>
    <row r="99" spans="1:15" s="133" customFormat="1" ht="27.75" customHeight="1" thickBot="1">
      <c r="A99" s="43"/>
      <c r="B99" s="44" t="s">
        <v>76</v>
      </c>
      <c r="C99" s="45"/>
      <c r="D99" s="128" t="e">
        <f>D97/D98</f>
        <v>#REF!</v>
      </c>
      <c r="E99" s="67">
        <f>E97/E98</f>
        <v>0.3668141359480868</v>
      </c>
      <c r="F99" s="45"/>
      <c r="G99" s="128">
        <f>G97/G98</f>
        <v>65.86951511682076</v>
      </c>
      <c r="H99" s="67">
        <f>H97/H98</f>
        <v>0.5141945368211472</v>
      </c>
      <c r="I99" s="67" t="e">
        <f t="shared" si="5"/>
        <v>#REF!</v>
      </c>
      <c r="J99" s="67" t="e">
        <f t="shared" si="6"/>
        <v>#REF!</v>
      </c>
      <c r="K99" s="316"/>
      <c r="L99" s="316"/>
      <c r="M99" s="316"/>
      <c r="N99" s="297">
        <f>G51/G98</f>
        <v>63.41472476130121</v>
      </c>
      <c r="O99" s="132"/>
    </row>
    <row r="100" spans="1:15" s="133" customFormat="1" ht="21.75" customHeight="1" thickBot="1">
      <c r="A100" s="181"/>
      <c r="B100" s="69" t="s">
        <v>77</v>
      </c>
      <c r="C100" s="182"/>
      <c r="D100" s="71" t="e">
        <f>SUM(D101:D107)</f>
        <v>#REF!</v>
      </c>
      <c r="E100" s="71">
        <f>SUM(E101:E107)</f>
        <v>5555967.972445574</v>
      </c>
      <c r="F100" s="71">
        <f>SUM(F101:F107)</f>
        <v>11340056.047</v>
      </c>
      <c r="G100" s="71">
        <f>SUM(G101:G107)</f>
        <v>4603495.277</v>
      </c>
      <c r="H100" s="71">
        <f>SUM(H101:H107)</f>
        <v>6736560.7700000005</v>
      </c>
      <c r="I100" s="71" t="e">
        <f t="shared" si="5"/>
        <v>#REF!</v>
      </c>
      <c r="J100" s="71" t="e">
        <f t="shared" si="6"/>
        <v>#REF!</v>
      </c>
      <c r="K100" s="316"/>
      <c r="L100" s="316"/>
      <c r="M100" s="316"/>
      <c r="O100" s="132"/>
    </row>
    <row r="101" spans="1:15" s="133" customFormat="1" ht="16.5" customHeight="1">
      <c r="A101" s="72"/>
      <c r="B101" s="73" t="s">
        <v>78</v>
      </c>
      <c r="C101" s="73"/>
      <c r="D101" s="197" t="e">
        <f>#REF!+#REF!</f>
        <v>#REF!</v>
      </c>
      <c r="E101" s="261"/>
      <c r="F101" s="76">
        <v>2187277.141</v>
      </c>
      <c r="G101" s="216">
        <f>F101</f>
        <v>2187277.141</v>
      </c>
      <c r="H101" s="216" t="s">
        <v>79</v>
      </c>
      <c r="I101" s="8" t="e">
        <f t="shared" si="5"/>
        <v>#REF!</v>
      </c>
      <c r="J101" s="9" t="e">
        <f t="shared" si="6"/>
        <v>#REF!</v>
      </c>
      <c r="K101" s="316"/>
      <c r="L101" s="316"/>
      <c r="M101" s="316"/>
      <c r="O101" s="132"/>
    </row>
    <row r="102" spans="1:17" s="133" customFormat="1" ht="16.5" customHeight="1">
      <c r="A102" s="77"/>
      <c r="B102" s="78" t="s">
        <v>80</v>
      </c>
      <c r="C102" s="78"/>
      <c r="D102" s="197" t="e">
        <f>#REF!+#REF!</f>
        <v>#REF!</v>
      </c>
      <c r="E102" s="263">
        <f>8.05*E98</f>
        <v>3738343.5250000004</v>
      </c>
      <c r="F102" s="76">
        <v>4571464.781</v>
      </c>
      <c r="G102" s="212" t="s">
        <v>79</v>
      </c>
      <c r="H102" s="212">
        <f>F102</f>
        <v>4571464.781</v>
      </c>
      <c r="I102" s="8" t="e">
        <f t="shared" si="5"/>
        <v>#VALUE!</v>
      </c>
      <c r="J102" s="9" t="e">
        <f t="shared" si="6"/>
        <v>#VALUE!</v>
      </c>
      <c r="K102" s="316"/>
      <c r="L102" s="316"/>
      <c r="M102" s="316"/>
      <c r="O102" s="140">
        <f>F101/G98</f>
        <v>3059.929157695789</v>
      </c>
      <c r="P102" s="141">
        <f>F102/H98</f>
        <v>10.310718811294583</v>
      </c>
      <c r="Q102" s="133" t="s">
        <v>81</v>
      </c>
    </row>
    <row r="103" spans="1:17" s="133" customFormat="1" ht="16.5" customHeight="1">
      <c r="A103" s="50"/>
      <c r="B103" s="78" t="s">
        <v>82</v>
      </c>
      <c r="C103" s="78"/>
      <c r="D103" s="197" t="e">
        <f>#REF!+#REF!</f>
        <v>#REF!</v>
      </c>
      <c r="E103" s="263"/>
      <c r="F103" s="76">
        <v>2416218.136</v>
      </c>
      <c r="G103" s="212">
        <f>F103</f>
        <v>2416218.136</v>
      </c>
      <c r="H103" s="212" t="s">
        <v>79</v>
      </c>
      <c r="I103" s="8" t="e">
        <f t="shared" si="5"/>
        <v>#REF!</v>
      </c>
      <c r="J103" s="9" t="e">
        <f t="shared" si="6"/>
        <v>#REF!</v>
      </c>
      <c r="K103" s="316"/>
      <c r="L103" s="316"/>
      <c r="M103" s="316"/>
      <c r="O103" s="140">
        <f>F103/G98</f>
        <v>3380.21011928994</v>
      </c>
      <c r="P103" s="142">
        <f>F104/H98</f>
        <v>4.500598716466544</v>
      </c>
      <c r="Q103" s="133" t="s">
        <v>83</v>
      </c>
    </row>
    <row r="104" spans="1:17" s="133" customFormat="1" ht="16.5" customHeight="1">
      <c r="A104" s="50"/>
      <c r="B104" s="78" t="s">
        <v>84</v>
      </c>
      <c r="C104" s="78"/>
      <c r="D104" s="197" t="e">
        <f>#REF!+#REF!</f>
        <v>#REF!</v>
      </c>
      <c r="E104" s="263">
        <f>3.56*E98</f>
        <v>1653230.18</v>
      </c>
      <c r="F104" s="76">
        <f>1991402.244+3797.63+231.182</f>
        <v>1995431.0559999999</v>
      </c>
      <c r="G104" s="212" t="s">
        <v>79</v>
      </c>
      <c r="H104" s="212">
        <f>F104</f>
        <v>1995431.0559999999</v>
      </c>
      <c r="I104" s="8" t="e">
        <f t="shared" si="5"/>
        <v>#VALUE!</v>
      </c>
      <c r="J104" s="9" t="e">
        <f t="shared" si="6"/>
        <v>#VALUE!</v>
      </c>
      <c r="K104" s="316"/>
      <c r="L104" s="316"/>
      <c r="M104" s="316"/>
      <c r="O104" s="143">
        <f>G97/G98</f>
        <v>65.86951511682076</v>
      </c>
      <c r="P104" s="142">
        <f>F105/H98</f>
        <v>0.2966710901641381</v>
      </c>
      <c r="Q104" s="133" t="s">
        <v>85</v>
      </c>
    </row>
    <row r="105" spans="1:17" s="133" customFormat="1" ht="16.5" customHeight="1">
      <c r="A105" s="50"/>
      <c r="B105" s="78" t="s">
        <v>86</v>
      </c>
      <c r="C105" s="78"/>
      <c r="D105" s="197" t="e">
        <f>#REF!+#REF!</f>
        <v>#REF!</v>
      </c>
      <c r="E105" s="263">
        <f>0.271*E98</f>
        <v>125849.8255</v>
      </c>
      <c r="F105" s="76">
        <v>131535.101</v>
      </c>
      <c r="G105" s="212" t="s">
        <v>79</v>
      </c>
      <c r="H105" s="212">
        <f>F105</f>
        <v>131535.101</v>
      </c>
      <c r="I105" s="8" t="e">
        <f t="shared" si="5"/>
        <v>#VALUE!</v>
      </c>
      <c r="J105" s="9" t="e">
        <f t="shared" si="6"/>
        <v>#VALUE!</v>
      </c>
      <c r="K105" s="316"/>
      <c r="L105" s="316"/>
      <c r="M105" s="316"/>
      <c r="O105" s="83">
        <f>SUM(O102:O104)</f>
        <v>6506.008792102549</v>
      </c>
      <c r="P105" s="142">
        <f>F106/H98</f>
        <v>0.0860000010735951</v>
      </c>
      <c r="Q105" s="133" t="s">
        <v>87</v>
      </c>
    </row>
    <row r="106" spans="1:17" s="133" customFormat="1" ht="16.5" customHeight="1">
      <c r="A106" s="84"/>
      <c r="B106" s="85" t="s">
        <v>88</v>
      </c>
      <c r="C106" s="85"/>
      <c r="D106" s="197" t="e">
        <f>#REF!+#REF!</f>
        <v>#REF!</v>
      </c>
      <c r="E106" s="264">
        <f>0.083*E98</f>
        <v>38544.4115</v>
      </c>
      <c r="F106" s="76">
        <v>38129.832</v>
      </c>
      <c r="G106" s="217"/>
      <c r="H106" s="217">
        <f>F106</f>
        <v>38129.832</v>
      </c>
      <c r="I106" s="8" t="e">
        <f t="shared" si="5"/>
        <v>#REF!</v>
      </c>
      <c r="J106" s="9" t="e">
        <f t="shared" si="6"/>
        <v>#REF!</v>
      </c>
      <c r="K106" s="316"/>
      <c r="L106" s="316"/>
      <c r="M106" s="316"/>
      <c r="O106" s="132"/>
      <c r="P106" s="142">
        <f>H97/H98</f>
        <v>0.5141945368211472</v>
      </c>
      <c r="Q106" s="133" t="s">
        <v>89</v>
      </c>
    </row>
    <row r="107" spans="1:16" s="133" customFormat="1" ht="16.5" customHeight="1" thickBot="1">
      <c r="A107" s="63"/>
      <c r="B107" s="278" t="s">
        <v>153</v>
      </c>
      <c r="C107" s="278"/>
      <c r="D107" s="197" t="e">
        <f>#REF!+#REF!</f>
        <v>#REF!</v>
      </c>
      <c r="E107" s="264">
        <f>0.083*E99</f>
        <v>0.030445573283691206</v>
      </c>
      <c r="F107" s="76"/>
      <c r="G107" s="217"/>
      <c r="H107" s="217">
        <f>F107</f>
        <v>0</v>
      </c>
      <c r="I107" s="8" t="e">
        <f t="shared" si="5"/>
        <v>#REF!</v>
      </c>
      <c r="J107" s="9" t="e">
        <f t="shared" si="6"/>
        <v>#REF!</v>
      </c>
      <c r="K107" s="316"/>
      <c r="L107" s="316"/>
      <c r="M107" s="316"/>
      <c r="O107" s="132"/>
      <c r="P107" s="142"/>
    </row>
    <row r="108" spans="1:16" s="133" customFormat="1" ht="38.25" customHeight="1" thickBot="1">
      <c r="A108" s="43"/>
      <c r="B108" s="88" t="s">
        <v>90</v>
      </c>
      <c r="C108" s="88"/>
      <c r="D108" s="45" t="e">
        <f>D97+D100</f>
        <v>#REF!</v>
      </c>
      <c r="E108" s="45">
        <f>E97+E100</f>
        <v>5726312.972445574</v>
      </c>
      <c r="F108" s="45">
        <f>F97+F100</f>
        <v>11615118.933401661</v>
      </c>
      <c r="G108" s="45">
        <f>G97+G100</f>
        <v>4650579.6627092</v>
      </c>
      <c r="H108" s="45">
        <f>H97+H100</f>
        <v>6964539.27069246</v>
      </c>
      <c r="I108" s="45" t="e">
        <f t="shared" si="5"/>
        <v>#REF!</v>
      </c>
      <c r="J108" s="45" t="e">
        <f t="shared" si="6"/>
        <v>#REF!</v>
      </c>
      <c r="K108" s="316"/>
      <c r="L108" s="316"/>
      <c r="M108" s="316"/>
      <c r="O108" s="132"/>
      <c r="P108" s="183">
        <f>SUM(P102:P106)</f>
        <v>15.708183155820006</v>
      </c>
    </row>
    <row r="109" spans="1:15" s="133" customFormat="1" ht="33.75" customHeight="1" thickBot="1">
      <c r="A109" s="184"/>
      <c r="B109" s="91" t="s">
        <v>91</v>
      </c>
      <c r="C109" s="91"/>
      <c r="D109" s="92" t="e">
        <f>D108/D98</f>
        <v>#REF!</v>
      </c>
      <c r="E109" s="93">
        <f>E108/E98</f>
        <v>12.330814201508373</v>
      </c>
      <c r="F109" s="191"/>
      <c r="G109" s="124">
        <f>G108/G98</f>
        <v>6506.00879210255</v>
      </c>
      <c r="H109" s="124">
        <f>H108/H98</f>
        <v>15.708183155820008</v>
      </c>
      <c r="I109" s="8" t="e">
        <f t="shared" si="5"/>
        <v>#REF!</v>
      </c>
      <c r="J109" s="9" t="e">
        <f t="shared" si="6"/>
        <v>#REF!</v>
      </c>
      <c r="K109" s="316"/>
      <c r="L109" s="316"/>
      <c r="M109" s="316"/>
      <c r="O109" s="185"/>
    </row>
    <row r="110" spans="1:15" s="133" customFormat="1" ht="18.75" customHeight="1">
      <c r="A110" s="186"/>
      <c r="B110" s="97"/>
      <c r="C110" s="97"/>
      <c r="D110" s="98"/>
      <c r="E110" s="99"/>
      <c r="F110" s="228"/>
      <c r="G110" s="229"/>
      <c r="H110" s="230"/>
      <c r="I110" s="231"/>
      <c r="J110" s="103"/>
      <c r="K110" s="103"/>
      <c r="L110" s="103"/>
      <c r="M110" s="103"/>
      <c r="O110" s="185"/>
    </row>
    <row r="111" spans="1:15" s="133" customFormat="1" ht="15" customHeight="1">
      <c r="A111" s="187"/>
      <c r="B111" s="187"/>
      <c r="C111" s="187"/>
      <c r="D111" s="187"/>
      <c r="E111" s="187"/>
      <c r="F111" s="275">
        <f>G111+H111</f>
        <v>11609784.28432</v>
      </c>
      <c r="G111" s="303">
        <v>4645180.574046501</v>
      </c>
      <c r="H111" s="303">
        <v>6964603.7102735</v>
      </c>
      <c r="I111" s="232"/>
      <c r="J111" s="187"/>
      <c r="K111" s="187"/>
      <c r="L111" s="187"/>
      <c r="M111" s="187"/>
      <c r="O111" s="185"/>
    </row>
    <row r="112" spans="6:9" ht="13.5">
      <c r="F112" s="275">
        <f>G112+H112</f>
        <v>77.60713999999999</v>
      </c>
      <c r="G112" s="274">
        <v>13.1932138</v>
      </c>
      <c r="H112" s="274">
        <v>64.41392619999999</v>
      </c>
      <c r="I112" s="233"/>
    </row>
    <row r="113" spans="5:13" ht="13.5" hidden="1" outlineLevel="1">
      <c r="E113" s="188" t="s">
        <v>118</v>
      </c>
      <c r="F113" s="275">
        <f>G113+H113</f>
        <v>3722514.3852353008</v>
      </c>
      <c r="G113" s="252"/>
      <c r="H113" s="252">
        <f>'[4]6 мес'!$F$77</f>
        <v>3722514.3852353008</v>
      </c>
      <c r="I113" s="189"/>
      <c r="J113" s="189"/>
      <c r="K113" s="189"/>
      <c r="L113" s="189"/>
      <c r="M113" s="189"/>
    </row>
    <row r="114" spans="3:8" ht="13.5" collapsed="1">
      <c r="C114" s="172"/>
      <c r="D114" s="172"/>
      <c r="E114" s="172"/>
      <c r="F114" s="275">
        <f>G114+H114</f>
        <v>11609706.67718</v>
      </c>
      <c r="G114" s="276">
        <f>G111-G112</f>
        <v>4645167.380832701</v>
      </c>
      <c r="H114" s="276">
        <f>H111-H112</f>
        <v>6964539.2963473</v>
      </c>
    </row>
    <row r="115" spans="1:13" s="150" customFormat="1" ht="14.25" customHeight="1">
      <c r="A115" s="388" t="s">
        <v>135</v>
      </c>
      <c r="B115" s="388"/>
      <c r="C115" s="225"/>
      <c r="D115" s="225"/>
      <c r="E115" s="225"/>
      <c r="F115" s="275">
        <f>G115+H115</f>
        <v>5412.2562216594815</v>
      </c>
      <c r="G115" s="277">
        <f>G108-G114</f>
        <v>5412.281876498833</v>
      </c>
      <c r="H115" s="277">
        <f>H108-H114</f>
        <v>-0.025654839351773262</v>
      </c>
      <c r="I115" s="389" t="s">
        <v>134</v>
      </c>
      <c r="J115" s="389"/>
      <c r="K115" s="224"/>
      <c r="L115" s="224"/>
      <c r="M115" s="224"/>
    </row>
    <row r="116" spans="1:13" s="150" customFormat="1" ht="14.25" customHeight="1">
      <c r="A116" s="223"/>
      <c r="B116" s="223"/>
      <c r="C116" s="171"/>
      <c r="D116" s="171"/>
      <c r="E116" s="171"/>
      <c r="F116" s="234"/>
      <c r="G116" s="234"/>
      <c r="H116" s="235"/>
      <c r="I116" s="224"/>
      <c r="J116" s="224"/>
      <c r="K116" s="224"/>
      <c r="L116" s="224"/>
      <c r="M116" s="224"/>
    </row>
    <row r="117" spans="1:16" s="150" customFormat="1" ht="18" customHeight="1">
      <c r="A117" s="388" t="s">
        <v>95</v>
      </c>
      <c r="B117" s="388"/>
      <c r="C117" s="171"/>
      <c r="D117" s="171"/>
      <c r="E117" s="171"/>
      <c r="F117" s="226"/>
      <c r="G117" s="226"/>
      <c r="H117" s="171"/>
      <c r="I117" s="389" t="s">
        <v>155</v>
      </c>
      <c r="J117" s="389"/>
      <c r="K117" s="224"/>
      <c r="L117" s="224"/>
      <c r="M117" s="224"/>
      <c r="P117" s="193"/>
    </row>
    <row r="118" spans="1:13" s="150" customFormat="1" ht="14.25" customHeight="1">
      <c r="A118" s="223"/>
      <c r="B118" s="223"/>
      <c r="C118" s="171"/>
      <c r="D118" s="171"/>
      <c r="E118" s="171"/>
      <c r="F118" s="171"/>
      <c r="G118" s="171"/>
      <c r="H118" s="171"/>
      <c r="I118" s="224"/>
      <c r="J118" s="224"/>
      <c r="K118" s="224"/>
      <c r="L118" s="224"/>
      <c r="M118" s="224"/>
    </row>
    <row r="119" spans="1:13" s="150" customFormat="1" ht="16.5" customHeight="1">
      <c r="A119" s="388" t="s">
        <v>96</v>
      </c>
      <c r="B119" s="388"/>
      <c r="C119" s="171"/>
      <c r="D119" s="171"/>
      <c r="E119" s="171"/>
      <c r="F119" s="171"/>
      <c r="G119" s="171"/>
      <c r="H119" s="171"/>
      <c r="I119" s="389" t="s">
        <v>150</v>
      </c>
      <c r="J119" s="389"/>
      <c r="K119" s="224"/>
      <c r="L119" s="224"/>
      <c r="M119" s="224"/>
    </row>
    <row r="125" spans="2:5" ht="13.5">
      <c r="B125" s="190"/>
      <c r="C125" s="190"/>
      <c r="D125" s="190"/>
      <c r="E125" s="190"/>
    </row>
    <row r="126" spans="2:5" ht="13.5">
      <c r="B126" s="190"/>
      <c r="C126" s="190"/>
      <c r="D126" s="190"/>
      <c r="E126" s="190"/>
    </row>
  </sheetData>
  <sheetProtection/>
  <mergeCells count="22">
    <mergeCell ref="A117:B117"/>
    <mergeCell ref="A119:B119"/>
    <mergeCell ref="I115:J115"/>
    <mergeCell ref="C5:C7"/>
    <mergeCell ref="G5:G7"/>
    <mergeCell ref="I119:J119"/>
    <mergeCell ref="I5:J5"/>
    <mergeCell ref="I117:J117"/>
    <mergeCell ref="I6:I7"/>
    <mergeCell ref="A1:J1"/>
    <mergeCell ref="A2:J2"/>
    <mergeCell ref="F4:H4"/>
    <mergeCell ref="A5:A7"/>
    <mergeCell ref="B5:B7"/>
    <mergeCell ref="A115:B115"/>
    <mergeCell ref="A3:J3"/>
    <mergeCell ref="Q32:Q36"/>
    <mergeCell ref="F5:F7"/>
    <mergeCell ref="E5:E7"/>
    <mergeCell ref="D5:D7"/>
    <mergeCell ref="H5:H7"/>
    <mergeCell ref="J6:J7"/>
  </mergeCells>
  <printOptions horizontalCentered="1"/>
  <pageMargins left="0" right="0" top="0" bottom="0" header="0" footer="0"/>
  <pageSetup fitToHeight="2" fitToWidth="1" horizontalDpi="600" verticalDpi="600" orientation="portrait" paperSize="9" scale="6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44"/>
  <sheetViews>
    <sheetView view="pageBreakPreview" zoomScale="80" zoomScaleNormal="70" zoomScaleSheetLayoutView="80" zoomScalePageLayoutView="0" workbookViewId="0" topLeftCell="A1">
      <pane xSplit="2" ySplit="7" topLeftCell="C22" activePane="bottomRight" state="frozen"/>
      <selection pane="topLeft" activeCell="B90" sqref="B90"/>
      <selection pane="topRight" activeCell="B90" sqref="B90"/>
      <selection pane="bottomLeft" activeCell="B90" sqref="B90"/>
      <selection pane="bottomRight" activeCell="G36" sqref="G36"/>
    </sheetView>
  </sheetViews>
  <sheetFormatPr defaultColWidth="9.125" defaultRowHeight="12.75" outlineLevelRow="1" outlineLevelCol="1"/>
  <cols>
    <col min="1" max="1" width="5.875" style="104" customWidth="1"/>
    <col min="2" max="2" width="50.875" style="104" customWidth="1"/>
    <col min="3" max="3" width="10.625" style="104" customWidth="1"/>
    <col min="4" max="4" width="20.00390625" style="104" customWidth="1"/>
    <col min="5" max="5" width="17.50390625" style="104" hidden="1" customWidth="1" outlineLevel="1"/>
    <col min="6" max="6" width="13.50390625" style="104" customWidth="1" collapsed="1"/>
    <col min="7" max="7" width="13.50390625" style="104" customWidth="1"/>
    <col min="8" max="8" width="13.625" style="104" customWidth="1" outlineLevel="1"/>
    <col min="9" max="9" width="13.50390625" style="104" customWidth="1"/>
    <col min="10" max="10" width="13.625" style="104" customWidth="1"/>
    <col min="11" max="16384" width="9.125" style="104" customWidth="1"/>
  </cols>
  <sheetData>
    <row r="1" spans="1:10" s="1" customFormat="1" ht="23.25" customHeight="1">
      <c r="A1" s="409" t="s">
        <v>0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0" s="1" customFormat="1" ht="21.75" customHeight="1">
      <c r="A2" s="410" t="s">
        <v>204</v>
      </c>
      <c r="B2" s="410"/>
      <c r="C2" s="410"/>
      <c r="D2" s="410"/>
      <c r="E2" s="410"/>
      <c r="F2" s="410"/>
      <c r="G2" s="410"/>
      <c r="H2" s="410"/>
      <c r="I2" s="410"/>
      <c r="J2" s="410"/>
    </row>
    <row r="3" spans="1:10" s="1" customFormat="1" ht="21.75" customHeight="1">
      <c r="A3" s="410" t="s">
        <v>129</v>
      </c>
      <c r="B3" s="410"/>
      <c r="C3" s="410"/>
      <c r="D3" s="410"/>
      <c r="E3" s="410"/>
      <c r="F3" s="410"/>
      <c r="G3" s="410"/>
      <c r="H3" s="410"/>
      <c r="I3" s="410"/>
      <c r="J3" s="410"/>
    </row>
    <row r="4" spans="1:10" s="1" customFormat="1" ht="18" customHeight="1" thickBot="1">
      <c r="A4" s="2"/>
      <c r="B4" s="2"/>
      <c r="C4" s="2"/>
      <c r="D4" s="2"/>
      <c r="E4" s="2"/>
      <c r="F4" s="411"/>
      <c r="G4" s="411"/>
      <c r="H4" s="411"/>
      <c r="I4" s="3"/>
      <c r="J4" s="3"/>
    </row>
    <row r="5" spans="1:10" s="1" customFormat="1" ht="27" customHeight="1">
      <c r="A5" s="414" t="s">
        <v>2</v>
      </c>
      <c r="B5" s="417" t="s">
        <v>3</v>
      </c>
      <c r="C5" s="417" t="s">
        <v>4</v>
      </c>
      <c r="D5" s="399" t="s">
        <v>205</v>
      </c>
      <c r="E5" s="399" t="s">
        <v>127</v>
      </c>
      <c r="F5" s="402" t="s">
        <v>206</v>
      </c>
      <c r="G5" s="399" t="s">
        <v>5</v>
      </c>
      <c r="H5" s="399" t="s">
        <v>6</v>
      </c>
      <c r="I5" s="412" t="s">
        <v>7</v>
      </c>
      <c r="J5" s="413"/>
    </row>
    <row r="6" spans="1:10" s="1" customFormat="1" ht="23.25" customHeight="1">
      <c r="A6" s="415"/>
      <c r="B6" s="418"/>
      <c r="C6" s="418"/>
      <c r="D6" s="400"/>
      <c r="E6" s="400"/>
      <c r="F6" s="403"/>
      <c r="G6" s="400"/>
      <c r="H6" s="400"/>
      <c r="I6" s="405" t="s">
        <v>8</v>
      </c>
      <c r="J6" s="407" t="s">
        <v>9</v>
      </c>
    </row>
    <row r="7" spans="1:10" s="4" customFormat="1" ht="38.25" customHeight="1" thickBot="1">
      <c r="A7" s="416"/>
      <c r="B7" s="419"/>
      <c r="C7" s="419"/>
      <c r="D7" s="401"/>
      <c r="E7" s="401"/>
      <c r="F7" s="404"/>
      <c r="G7" s="401"/>
      <c r="H7" s="401"/>
      <c r="I7" s="406"/>
      <c r="J7" s="408"/>
    </row>
    <row r="8" spans="1:10" s="4" customFormat="1" ht="24" customHeight="1" outlineLevel="1">
      <c r="A8" s="5"/>
      <c r="B8" s="6" t="s">
        <v>10</v>
      </c>
      <c r="C8" s="7" t="s">
        <v>11</v>
      </c>
      <c r="D8" s="8" t="e">
        <f>D51</f>
        <v>#REF!</v>
      </c>
      <c r="E8" s="8" t="e">
        <f>E51</f>
        <v>#REF!</v>
      </c>
      <c r="F8" s="8">
        <f>F51</f>
        <v>297533.125935</v>
      </c>
      <c r="G8" s="8">
        <f>G51</f>
        <v>46143.012127600006</v>
      </c>
      <c r="H8" s="8">
        <f>H51</f>
        <v>251390.11380739996</v>
      </c>
      <c r="I8" s="145" t="e">
        <f>G8-D8</f>
        <v>#REF!</v>
      </c>
      <c r="J8" s="9" t="e">
        <f>G8/D8*100</f>
        <v>#REF!</v>
      </c>
    </row>
    <row r="9" spans="1:10" s="4" customFormat="1" ht="24" customHeight="1" outlineLevel="1">
      <c r="A9" s="10"/>
      <c r="B9" s="11" t="s">
        <v>12</v>
      </c>
      <c r="C9" s="7" t="s">
        <v>11</v>
      </c>
      <c r="D9" s="12" t="e">
        <f>D8</f>
        <v>#REF!</v>
      </c>
      <c r="E9" s="12" t="e">
        <f>E8</f>
        <v>#REF!</v>
      </c>
      <c r="F9" s="12">
        <f>F8</f>
        <v>297533.125935</v>
      </c>
      <c r="G9" s="12">
        <f>G8</f>
        <v>46143.012127600006</v>
      </c>
      <c r="H9" s="12">
        <f>H8</f>
        <v>251390.11380739996</v>
      </c>
      <c r="I9" s="145" t="e">
        <f aca="true" t="shared" si="0" ref="I9:I77">G9-D9</f>
        <v>#REF!</v>
      </c>
      <c r="J9" s="9" t="e">
        <f aca="true" t="shared" si="1" ref="J9:J77">G9/D9*100</f>
        <v>#REF!</v>
      </c>
    </row>
    <row r="10" spans="1:10" s="4" customFormat="1" ht="13.5" customHeight="1" outlineLevel="1">
      <c r="A10" s="10"/>
      <c r="B10" s="13" t="s">
        <v>13</v>
      </c>
      <c r="C10" s="13"/>
      <c r="D10" s="13"/>
      <c r="E10" s="13"/>
      <c r="F10" s="14"/>
      <c r="G10" s="14"/>
      <c r="H10" s="14"/>
      <c r="I10" s="145"/>
      <c r="J10" s="9"/>
    </row>
    <row r="11" spans="1:10" s="19" customFormat="1" ht="21" customHeight="1">
      <c r="A11" s="15">
        <v>1</v>
      </c>
      <c r="B11" s="16" t="s">
        <v>14</v>
      </c>
      <c r="C11" s="7" t="s">
        <v>11</v>
      </c>
      <c r="D11" s="23" t="e">
        <f>'6мес (от плана)'!D11+#REF!</f>
        <v>#REF!</v>
      </c>
      <c r="E11" s="17" t="e">
        <f>#REF!+#REF!+#REF!+#REF!+#REF!+#REF!+#REF!</f>
        <v>#REF!</v>
      </c>
      <c r="F11" s="242">
        <f>G11+H11</f>
        <v>210109.29737999997</v>
      </c>
      <c r="G11" s="197">
        <f>35529.375-G69</f>
        <v>34846.036</v>
      </c>
      <c r="H11" s="197">
        <f>179557.33-H69</f>
        <v>175263.26137999998</v>
      </c>
      <c r="I11" s="145" t="e">
        <f>G11-D11</f>
        <v>#REF!</v>
      </c>
      <c r="J11" s="9" t="e">
        <f t="shared" si="1"/>
        <v>#REF!</v>
      </c>
    </row>
    <row r="12" spans="1:10" s="24" customFormat="1" ht="18" customHeight="1">
      <c r="A12" s="20">
        <v>2</v>
      </c>
      <c r="B12" s="21" t="s">
        <v>15</v>
      </c>
      <c r="C12" s="22" t="s">
        <v>11</v>
      </c>
      <c r="D12" s="23" t="e">
        <f>'6мес (от плана)'!D12+#REF!</f>
        <v>#REF!</v>
      </c>
      <c r="E12" s="23" t="e">
        <f>#REF!+#REF!+#REF!+#REF!+#REF!+#REF!+#REF!</f>
        <v>#REF!</v>
      </c>
      <c r="F12" s="242">
        <f aca="true" t="shared" si="2" ref="F12:F45">G12+H12</f>
        <v>18172.621</v>
      </c>
      <c r="G12" s="197">
        <f>1923.712+1080.393</f>
        <v>3004.105</v>
      </c>
      <c r="H12" s="197">
        <f>9704.846+5463.67</f>
        <v>15168.516</v>
      </c>
      <c r="I12" s="145" t="e">
        <f t="shared" si="0"/>
        <v>#REF!</v>
      </c>
      <c r="J12" s="9" t="e">
        <f t="shared" si="1"/>
        <v>#REF!</v>
      </c>
    </row>
    <row r="13" spans="1:12" s="24" customFormat="1" ht="30" customHeight="1">
      <c r="A13" s="15">
        <v>3</v>
      </c>
      <c r="B13" s="283" t="s">
        <v>160</v>
      </c>
      <c r="C13" s="22"/>
      <c r="D13" s="23" t="e">
        <f>'6мес (от плана)'!D13+#REF!</f>
        <v>#REF!</v>
      </c>
      <c r="E13" s="23"/>
      <c r="F13" s="242">
        <f t="shared" si="2"/>
        <v>4882.955</v>
      </c>
      <c r="G13" s="197">
        <v>802.806</v>
      </c>
      <c r="H13" s="197">
        <v>4080.149</v>
      </c>
      <c r="I13" s="145" t="e">
        <f>G13-D13</f>
        <v>#REF!</v>
      </c>
      <c r="J13" s="9" t="e">
        <f>G13/D13*100</f>
        <v>#REF!</v>
      </c>
      <c r="K13" s="24">
        <v>662.9254</v>
      </c>
      <c r="L13" s="24">
        <v>3397.202</v>
      </c>
    </row>
    <row r="14" spans="1:10" s="28" customFormat="1" ht="22.5" customHeight="1">
      <c r="A14" s="20">
        <v>4</v>
      </c>
      <c r="B14" s="25" t="s">
        <v>16</v>
      </c>
      <c r="C14" s="22" t="s">
        <v>11</v>
      </c>
      <c r="D14" s="23" t="e">
        <f>'6мес (от плана)'!D14+#REF!</f>
        <v>#REF!</v>
      </c>
      <c r="E14" s="23" t="e">
        <f>#REF!+#REF!+#REF!+#REF!+#REF!+#REF!+#REF!</f>
        <v>#REF!</v>
      </c>
      <c r="F14" s="242">
        <f t="shared" si="2"/>
        <v>15200.287</v>
      </c>
      <c r="G14" s="197">
        <v>2515.501</v>
      </c>
      <c r="H14" s="197">
        <v>12684.786</v>
      </c>
      <c r="I14" s="145" t="e">
        <f t="shared" si="0"/>
        <v>#REF!</v>
      </c>
      <c r="J14" s="9" t="e">
        <f t="shared" si="1"/>
        <v>#REF!</v>
      </c>
    </row>
    <row r="15" spans="1:10" s="243" customFormat="1" ht="22.5" customHeight="1">
      <c r="A15" s="245">
        <v>5</v>
      </c>
      <c r="B15" s="206" t="s">
        <v>17</v>
      </c>
      <c r="C15" s="244" t="s">
        <v>11</v>
      </c>
      <c r="D15" s="194" t="e">
        <f>'6мес (от плана)'!D15+#REF!</f>
        <v>#REF!</v>
      </c>
      <c r="E15" s="194" t="e">
        <f>#REF!+#REF!+#REF!+#REF!+#REF!+#REF!+#REF!</f>
        <v>#REF!</v>
      </c>
      <c r="F15" s="242">
        <f t="shared" si="2"/>
        <v>278.1269999999997</v>
      </c>
      <c r="G15" s="197">
        <f>850.088-G13</f>
        <v>47.281999999999925</v>
      </c>
      <c r="H15" s="197">
        <f>4310.994-H13</f>
        <v>230.8449999999998</v>
      </c>
      <c r="I15" s="300" t="e">
        <f t="shared" si="0"/>
        <v>#REF!</v>
      </c>
      <c r="J15" s="301" t="e">
        <f t="shared" si="1"/>
        <v>#REF!</v>
      </c>
    </row>
    <row r="16" spans="1:10" s="243" customFormat="1" ht="22.5" customHeight="1">
      <c r="A16" s="246">
        <v>6</v>
      </c>
      <c r="B16" s="206" t="s">
        <v>18</v>
      </c>
      <c r="C16" s="244" t="s">
        <v>11</v>
      </c>
      <c r="D16" s="194" t="e">
        <f>'6мес (от плана)'!D16+#REF!</f>
        <v>#REF!</v>
      </c>
      <c r="E16" s="194" t="e">
        <f>#REF!+#REF!+#REF!+#REF!+#REF!+#REF!+#REF!</f>
        <v>#REF!</v>
      </c>
      <c r="F16" s="242">
        <f t="shared" si="2"/>
        <v>1639.0020000000002</v>
      </c>
      <c r="G16" s="197">
        <v>298.66</v>
      </c>
      <c r="H16" s="197">
        <v>1340.342</v>
      </c>
      <c r="I16" s="300" t="e">
        <f t="shared" si="0"/>
        <v>#REF!</v>
      </c>
      <c r="J16" s="301" t="e">
        <f t="shared" si="1"/>
        <v>#REF!</v>
      </c>
    </row>
    <row r="17" spans="1:10" s="243" customFormat="1" ht="19.5" customHeight="1">
      <c r="A17" s="245">
        <v>7</v>
      </c>
      <c r="B17" s="247" t="s">
        <v>19</v>
      </c>
      <c r="C17" s="244" t="s">
        <v>11</v>
      </c>
      <c r="D17" s="194" t="e">
        <f>'6мес (от плана)'!D17+#REF!</f>
        <v>#REF!</v>
      </c>
      <c r="E17" s="194" t="e">
        <f>#REF!+#REF!+#REF!+#REF!+#REF!+#REF!+#REF!</f>
        <v>#REF!</v>
      </c>
      <c r="F17" s="242">
        <f t="shared" si="2"/>
        <v>1720.998775</v>
      </c>
      <c r="G17" s="197">
        <f>250.363-G75</f>
        <v>205.661775</v>
      </c>
      <c r="H17" s="197">
        <v>1515.337</v>
      </c>
      <c r="I17" s="300" t="e">
        <f t="shared" si="0"/>
        <v>#REF!</v>
      </c>
      <c r="J17" s="301" t="e">
        <f t="shared" si="1"/>
        <v>#REF!</v>
      </c>
    </row>
    <row r="18" spans="1:10" s="243" customFormat="1" ht="19.5" customHeight="1" hidden="1" outlineLevel="1">
      <c r="A18" s="246">
        <v>8</v>
      </c>
      <c r="B18" s="247" t="s">
        <v>20</v>
      </c>
      <c r="C18" s="244" t="s">
        <v>11</v>
      </c>
      <c r="D18" s="194" t="e">
        <f>'6мес (от плана)'!D18+#REF!</f>
        <v>#REF!</v>
      </c>
      <c r="E18" s="194" t="e">
        <f>#REF!+#REF!+#REF!+#REF!+#REF!+#REF!+#REF!</f>
        <v>#REF!</v>
      </c>
      <c r="F18" s="242">
        <f t="shared" si="2"/>
        <v>0</v>
      </c>
      <c r="G18" s="197"/>
      <c r="H18" s="197"/>
      <c r="I18" s="300" t="e">
        <f t="shared" si="0"/>
        <v>#REF!</v>
      </c>
      <c r="J18" s="301" t="e">
        <f t="shared" si="1"/>
        <v>#REF!</v>
      </c>
    </row>
    <row r="19" spans="1:10" s="243" customFormat="1" ht="18.75" customHeight="1" collapsed="1">
      <c r="A19" s="245">
        <v>8</v>
      </c>
      <c r="B19" s="247" t="s">
        <v>21</v>
      </c>
      <c r="C19" s="244" t="s">
        <v>11</v>
      </c>
      <c r="D19" s="194" t="e">
        <f>'6мес (от плана)'!D19+#REF!</f>
        <v>#REF!</v>
      </c>
      <c r="E19" s="194" t="e">
        <f>#REF!+#REF!+#REF!+#REF!+#REF!+#REF!+#REF!</f>
        <v>#REF!</v>
      </c>
      <c r="F19" s="242">
        <f t="shared" si="2"/>
        <v>7234.665000000001</v>
      </c>
      <c r="G19" s="197">
        <v>1043.583</v>
      </c>
      <c r="H19" s="197">
        <v>6191.082</v>
      </c>
      <c r="I19" s="300" t="e">
        <f t="shared" si="0"/>
        <v>#REF!</v>
      </c>
      <c r="J19" s="301" t="e">
        <f t="shared" si="1"/>
        <v>#REF!</v>
      </c>
    </row>
    <row r="20" spans="1:10" s="243" customFormat="1" ht="19.5" customHeight="1">
      <c r="A20" s="246">
        <v>9</v>
      </c>
      <c r="B20" s="247" t="s">
        <v>22</v>
      </c>
      <c r="C20" s="244" t="s">
        <v>11</v>
      </c>
      <c r="D20" s="194" t="e">
        <f>'6мес (от плана)'!D20+#REF!</f>
        <v>#REF!</v>
      </c>
      <c r="E20" s="194" t="e">
        <f>#REF!+#REF!+#REF!+#REF!+#REF!+#REF!+#REF!</f>
        <v>#REF!</v>
      </c>
      <c r="F20" s="242">
        <f t="shared" si="2"/>
        <v>5397.721</v>
      </c>
      <c r="G20" s="197">
        <v>0</v>
      </c>
      <c r="H20" s="197">
        <v>5397.721</v>
      </c>
      <c r="I20" s="300" t="e">
        <f t="shared" si="0"/>
        <v>#REF!</v>
      </c>
      <c r="J20" s="301" t="e">
        <f t="shared" si="1"/>
        <v>#REF!</v>
      </c>
    </row>
    <row r="21" spans="1:10" s="243" customFormat="1" ht="22.5" customHeight="1">
      <c r="A21" s="245">
        <v>10</v>
      </c>
      <c r="B21" s="247" t="s">
        <v>23</v>
      </c>
      <c r="C21" s="244" t="s">
        <v>11</v>
      </c>
      <c r="D21" s="195" t="e">
        <f>SUM(D23:D50)</f>
        <v>#REF!</v>
      </c>
      <c r="E21" s="195" t="e">
        <f>SUM(E23:E50)</f>
        <v>#REF!</v>
      </c>
      <c r="F21" s="195">
        <f>SUM(F23:F50)</f>
        <v>32897.45178</v>
      </c>
      <c r="G21" s="195">
        <f>SUM(G23:G50)</f>
        <v>3379.3773526000004</v>
      </c>
      <c r="H21" s="195">
        <f>SUM(H23:H50)</f>
        <v>29518.074427399995</v>
      </c>
      <c r="I21" s="300" t="e">
        <f t="shared" si="0"/>
        <v>#REF!</v>
      </c>
      <c r="J21" s="301" t="e">
        <f t="shared" si="1"/>
        <v>#REF!</v>
      </c>
    </row>
    <row r="22" spans="1:10" s="243" customFormat="1" ht="15" customHeight="1">
      <c r="A22" s="246"/>
      <c r="B22" s="198" t="s">
        <v>13</v>
      </c>
      <c r="C22" s="244" t="s">
        <v>11</v>
      </c>
      <c r="D22" s="198"/>
      <c r="E22" s="240"/>
      <c r="F22" s="242">
        <f t="shared" si="2"/>
        <v>0</v>
      </c>
      <c r="G22" s="197"/>
      <c r="H22" s="197"/>
      <c r="I22" s="300">
        <f t="shared" si="0"/>
        <v>0</v>
      </c>
      <c r="J22" s="301" t="e">
        <f t="shared" si="1"/>
        <v>#DIV/0!</v>
      </c>
    </row>
    <row r="23" spans="1:10" s="243" customFormat="1" ht="18.75" customHeight="1">
      <c r="A23" s="246">
        <v>11</v>
      </c>
      <c r="B23" s="206" t="s">
        <v>24</v>
      </c>
      <c r="C23" s="244" t="s">
        <v>11</v>
      </c>
      <c r="D23" s="194" t="e">
        <f>'6мес (от плана)'!D23+#REF!</f>
        <v>#REF!</v>
      </c>
      <c r="E23" s="209" t="e">
        <f>#REF!+#REF!+#REF!+#REF!+#REF!+#REF!+#REF!</f>
        <v>#REF!</v>
      </c>
      <c r="F23" s="242">
        <f t="shared" si="2"/>
        <v>4852.5019999999995</v>
      </c>
      <c r="G23" s="197">
        <v>136.187</v>
      </c>
      <c r="H23" s="197">
        <v>4716.315</v>
      </c>
      <c r="I23" s="300" t="e">
        <f t="shared" si="0"/>
        <v>#REF!</v>
      </c>
      <c r="J23" s="301" t="e">
        <f t="shared" si="1"/>
        <v>#REF!</v>
      </c>
    </row>
    <row r="24" spans="1:10" s="243" customFormat="1" ht="20.25" customHeight="1">
      <c r="A24" s="246">
        <v>12</v>
      </c>
      <c r="B24" s="206" t="s">
        <v>25</v>
      </c>
      <c r="C24" s="244" t="s">
        <v>11</v>
      </c>
      <c r="D24" s="194" t="e">
        <f>'6мес (от плана)'!D24+#REF!</f>
        <v>#REF!</v>
      </c>
      <c r="E24" s="209" t="e">
        <f>#REF!+#REF!+#REF!+#REF!+#REF!+#REF!+#REF!</f>
        <v>#REF!</v>
      </c>
      <c r="F24" s="242">
        <f t="shared" si="2"/>
        <v>0</v>
      </c>
      <c r="G24" s="197">
        <v>0</v>
      </c>
      <c r="H24" s="197">
        <v>0</v>
      </c>
      <c r="I24" s="300" t="e">
        <f t="shared" si="0"/>
        <v>#REF!</v>
      </c>
      <c r="J24" s="301" t="e">
        <f t="shared" si="1"/>
        <v>#REF!</v>
      </c>
    </row>
    <row r="25" spans="1:10" s="243" customFormat="1" ht="16.5" customHeight="1">
      <c r="A25" s="246">
        <v>13</v>
      </c>
      <c r="B25" s="206" t="s">
        <v>26</v>
      </c>
      <c r="C25" s="244" t="s">
        <v>11</v>
      </c>
      <c r="D25" s="194" t="e">
        <f>'6мес (от плана)'!D25+#REF!</f>
        <v>#REF!</v>
      </c>
      <c r="E25" s="209" t="e">
        <f>#REF!+#REF!+#REF!+#REF!+#REF!+#REF!+#REF!</f>
        <v>#REF!</v>
      </c>
      <c r="F25" s="242">
        <f t="shared" si="2"/>
        <v>0</v>
      </c>
      <c r="G25" s="197"/>
      <c r="H25" s="197"/>
      <c r="I25" s="300" t="e">
        <f t="shared" si="0"/>
        <v>#REF!</v>
      </c>
      <c r="J25" s="301" t="e">
        <f t="shared" si="1"/>
        <v>#REF!</v>
      </c>
    </row>
    <row r="26" spans="1:10" s="243" customFormat="1" ht="17.25" customHeight="1">
      <c r="A26" s="246">
        <v>14</v>
      </c>
      <c r="B26" s="206" t="s">
        <v>109</v>
      </c>
      <c r="C26" s="244" t="s">
        <v>11</v>
      </c>
      <c r="D26" s="194" t="e">
        <f>'6мес (от плана)'!D26+#REF!</f>
        <v>#REF!</v>
      </c>
      <c r="E26" s="209" t="e">
        <f>#REF!+#REF!+#REF!+#REF!+#REF!+#REF!+#REF!</f>
        <v>#REF!</v>
      </c>
      <c r="F26" s="242">
        <f t="shared" si="2"/>
        <v>5364.1539999999995</v>
      </c>
      <c r="G26" s="197">
        <f>399.255-40.02</f>
        <v>359.235</v>
      </c>
      <c r="H26" s="197">
        <v>5004.919</v>
      </c>
      <c r="I26" s="300" t="e">
        <f t="shared" si="0"/>
        <v>#REF!</v>
      </c>
      <c r="J26" s="301" t="e">
        <f t="shared" si="1"/>
        <v>#REF!</v>
      </c>
    </row>
    <row r="27" spans="1:10" s="243" customFormat="1" ht="17.25" customHeight="1">
      <c r="A27" s="246">
        <v>15</v>
      </c>
      <c r="B27" s="206" t="s">
        <v>28</v>
      </c>
      <c r="C27" s="244" t="s">
        <v>11</v>
      </c>
      <c r="D27" s="194" t="e">
        <f>'6мес (от плана)'!D27+#REF!</f>
        <v>#REF!</v>
      </c>
      <c r="E27" s="209" t="e">
        <f>#REF!+#REF!+#REF!+#REF!+#REF!+#REF!+#REF!</f>
        <v>#REF!</v>
      </c>
      <c r="F27" s="242">
        <f t="shared" si="2"/>
        <v>106.48299999999999</v>
      </c>
      <c r="G27" s="197">
        <f>19.117-5.969</f>
        <v>13.148</v>
      </c>
      <c r="H27" s="197">
        <v>93.335</v>
      </c>
      <c r="I27" s="300" t="e">
        <f t="shared" si="0"/>
        <v>#REF!</v>
      </c>
      <c r="J27" s="301" t="e">
        <f t="shared" si="1"/>
        <v>#REF!</v>
      </c>
    </row>
    <row r="28" spans="1:10" s="243" customFormat="1" ht="18" customHeight="1">
      <c r="A28" s="246">
        <v>16</v>
      </c>
      <c r="B28" s="206" t="s">
        <v>29</v>
      </c>
      <c r="C28" s="244" t="s">
        <v>11</v>
      </c>
      <c r="D28" s="194" t="e">
        <f>'6мес (от плана)'!D28+#REF!</f>
        <v>#REF!</v>
      </c>
      <c r="E28" s="209" t="e">
        <f>#REF!+#REF!+#REF!+#REF!+#REF!+#REF!+#REF!</f>
        <v>#REF!</v>
      </c>
      <c r="F28" s="242">
        <f t="shared" si="2"/>
        <v>54.718999999999994</v>
      </c>
      <c r="G28" s="197">
        <v>9.87</v>
      </c>
      <c r="H28" s="197">
        <v>44.849</v>
      </c>
      <c r="I28" s="300" t="e">
        <f t="shared" si="0"/>
        <v>#REF!</v>
      </c>
      <c r="J28" s="301" t="e">
        <f t="shared" si="1"/>
        <v>#REF!</v>
      </c>
    </row>
    <row r="29" spans="1:10" s="243" customFormat="1" ht="18" customHeight="1">
      <c r="A29" s="246">
        <v>17</v>
      </c>
      <c r="B29" s="206" t="s">
        <v>30</v>
      </c>
      <c r="C29" s="244" t="s">
        <v>11</v>
      </c>
      <c r="D29" s="194" t="e">
        <f>'6мес (от плана)'!D29+#REF!</f>
        <v>#REF!</v>
      </c>
      <c r="E29" s="209" t="e">
        <f>#REF!+#REF!+#REF!+#REF!+#REF!+#REF!+#REF!</f>
        <v>#REF!</v>
      </c>
      <c r="F29" s="242">
        <f t="shared" si="2"/>
        <v>97.64999999999999</v>
      </c>
      <c r="G29" s="197">
        <v>17.913</v>
      </c>
      <c r="H29" s="197">
        <v>79.737</v>
      </c>
      <c r="I29" s="300" t="e">
        <f t="shared" si="0"/>
        <v>#REF!</v>
      </c>
      <c r="J29" s="301" t="e">
        <f t="shared" si="1"/>
        <v>#REF!</v>
      </c>
    </row>
    <row r="30" spans="1:10" s="243" customFormat="1" ht="18.75" customHeight="1">
      <c r="A30" s="246">
        <v>18</v>
      </c>
      <c r="B30" s="206" t="s">
        <v>31</v>
      </c>
      <c r="C30" s="244" t="s">
        <v>11</v>
      </c>
      <c r="D30" s="194" t="e">
        <f>'6мес (от плана)'!D30+#REF!</f>
        <v>#REF!</v>
      </c>
      <c r="E30" s="209" t="e">
        <f>#REF!+#REF!+#REF!+#REF!+#REF!+#REF!+#REF!</f>
        <v>#REF!</v>
      </c>
      <c r="F30" s="242">
        <f t="shared" si="2"/>
        <v>1086.8500000000001</v>
      </c>
      <c r="G30" s="197">
        <v>163.607</v>
      </c>
      <c r="H30" s="197">
        <v>923.243</v>
      </c>
      <c r="I30" s="300" t="e">
        <f t="shared" si="0"/>
        <v>#REF!</v>
      </c>
      <c r="J30" s="301" t="e">
        <f t="shared" si="1"/>
        <v>#REF!</v>
      </c>
    </row>
    <row r="31" spans="1:10" s="243" customFormat="1" ht="15.75" customHeight="1">
      <c r="A31" s="246">
        <v>19</v>
      </c>
      <c r="B31" s="206" t="s">
        <v>32</v>
      </c>
      <c r="C31" s="244" t="s">
        <v>11</v>
      </c>
      <c r="D31" s="194" t="e">
        <f>'6мес (от плана)'!D31+#REF!</f>
        <v>#REF!</v>
      </c>
      <c r="E31" s="209" t="e">
        <f>#REF!+#REF!+#REF!+#REF!+#REF!+#REF!+#REF!</f>
        <v>#REF!</v>
      </c>
      <c r="F31" s="242">
        <f t="shared" si="2"/>
        <v>3602.487</v>
      </c>
      <c r="G31" s="197">
        <v>487.793</v>
      </c>
      <c r="H31" s="197">
        <v>3114.694</v>
      </c>
      <c r="I31" s="300" t="e">
        <f t="shared" si="0"/>
        <v>#REF!</v>
      </c>
      <c r="J31" s="301" t="e">
        <f t="shared" si="1"/>
        <v>#REF!</v>
      </c>
    </row>
    <row r="32" spans="1:10" s="243" customFormat="1" ht="15.75" customHeight="1">
      <c r="A32" s="246">
        <v>20</v>
      </c>
      <c r="B32" s="206" t="s">
        <v>33</v>
      </c>
      <c r="C32" s="244" t="s">
        <v>11</v>
      </c>
      <c r="D32" s="194" t="e">
        <f>'6мес (от плана)'!D32+#REF!</f>
        <v>#REF!</v>
      </c>
      <c r="E32" s="209" t="e">
        <f>#REF!+#REF!+#REF!+#REF!+#REF!+#REF!+#REF!</f>
        <v>#REF!</v>
      </c>
      <c r="F32" s="242">
        <f t="shared" si="2"/>
        <v>217.643</v>
      </c>
      <c r="G32" s="197">
        <v>32.828</v>
      </c>
      <c r="H32" s="197">
        <v>184.815</v>
      </c>
      <c r="I32" s="300" t="e">
        <f t="shared" si="0"/>
        <v>#REF!</v>
      </c>
      <c r="J32" s="301" t="e">
        <f t="shared" si="1"/>
        <v>#REF!</v>
      </c>
    </row>
    <row r="33" spans="1:10" s="243" customFormat="1" ht="15.75" customHeight="1">
      <c r="A33" s="246">
        <v>21</v>
      </c>
      <c r="B33" s="206" t="s">
        <v>34</v>
      </c>
      <c r="C33" s="244" t="s">
        <v>11</v>
      </c>
      <c r="D33" s="194" t="e">
        <f>'6мес (от плана)'!D33+#REF!</f>
        <v>#REF!</v>
      </c>
      <c r="E33" s="209" t="e">
        <f>#REF!+#REF!+#REF!+#REF!+#REF!+#REF!+#REF!</f>
        <v>#REF!</v>
      </c>
      <c r="F33" s="242">
        <f t="shared" si="2"/>
        <v>350</v>
      </c>
      <c r="G33" s="197">
        <v>59.5</v>
      </c>
      <c r="H33" s="197">
        <v>290.5</v>
      </c>
      <c r="I33" s="300" t="e">
        <f t="shared" si="0"/>
        <v>#REF!</v>
      </c>
      <c r="J33" s="301" t="e">
        <f t="shared" si="1"/>
        <v>#REF!</v>
      </c>
    </row>
    <row r="34" spans="1:10" s="243" customFormat="1" ht="15.75" customHeight="1">
      <c r="A34" s="246">
        <v>22</v>
      </c>
      <c r="B34" s="206" t="s">
        <v>35</v>
      </c>
      <c r="C34" s="244" t="s">
        <v>11</v>
      </c>
      <c r="D34" s="194" t="e">
        <f>'6мес (от плана)'!D34+#REF!</f>
        <v>#REF!</v>
      </c>
      <c r="E34" s="209" t="e">
        <f>#REF!+#REF!+#REF!+#REF!+#REF!+#REF!+#REF!</f>
        <v>#REF!</v>
      </c>
      <c r="F34" s="242">
        <f t="shared" si="2"/>
        <v>1115.774</v>
      </c>
      <c r="G34" s="197">
        <f>104.61+25.149</f>
        <v>129.75900000000001</v>
      </c>
      <c r="H34" s="197">
        <f>863.228+122.787</f>
        <v>986.015</v>
      </c>
      <c r="I34" s="300" t="e">
        <f t="shared" si="0"/>
        <v>#REF!</v>
      </c>
      <c r="J34" s="301" t="e">
        <f t="shared" si="1"/>
        <v>#REF!</v>
      </c>
    </row>
    <row r="35" spans="1:10" s="243" customFormat="1" ht="16.5" customHeight="1">
      <c r="A35" s="246">
        <v>23</v>
      </c>
      <c r="B35" s="206" t="s">
        <v>36</v>
      </c>
      <c r="C35" s="244" t="s">
        <v>11</v>
      </c>
      <c r="D35" s="194" t="e">
        <f>'6мес (от плана)'!D35+#REF!</f>
        <v>#REF!</v>
      </c>
      <c r="E35" s="209" t="e">
        <f>#REF!+#REF!+#REF!+#REF!+#REF!+#REF!+#REF!</f>
        <v>#REF!</v>
      </c>
      <c r="F35" s="242">
        <f t="shared" si="2"/>
        <v>669.98262</v>
      </c>
      <c r="G35" s="197">
        <f>117.428-20.77038*0.17</f>
        <v>113.8970354</v>
      </c>
      <c r="H35" s="197">
        <f>573.325-20.77038*0.83</f>
        <v>556.0855846000001</v>
      </c>
      <c r="I35" s="300" t="e">
        <f t="shared" si="0"/>
        <v>#REF!</v>
      </c>
      <c r="J35" s="301" t="e">
        <f t="shared" si="1"/>
        <v>#REF!</v>
      </c>
    </row>
    <row r="36" spans="1:10" s="243" customFormat="1" ht="15.75" customHeight="1">
      <c r="A36" s="246">
        <v>24</v>
      </c>
      <c r="B36" s="206" t="s">
        <v>37</v>
      </c>
      <c r="C36" s="244" t="s">
        <v>11</v>
      </c>
      <c r="D36" s="194" t="e">
        <f>'6мес (от плана)'!D36+#REF!</f>
        <v>#REF!</v>
      </c>
      <c r="E36" s="209" t="e">
        <f>#REF!+#REF!+#REF!+#REF!+#REF!+#REF!+#REF!</f>
        <v>#REF!</v>
      </c>
      <c r="F36" s="242">
        <f t="shared" si="2"/>
        <v>134.22094</v>
      </c>
      <c r="G36" s="197">
        <f>97.203-(411.84702+13.73661+6.89643)*0.17</f>
        <v>23.681389800000005</v>
      </c>
      <c r="H36" s="197">
        <f>469.498-(411.84702+13.73661+6.89643)*0.83</f>
        <v>110.53955020000001</v>
      </c>
      <c r="I36" s="300" t="e">
        <f t="shared" si="0"/>
        <v>#REF!</v>
      </c>
      <c r="J36" s="301" t="e">
        <f t="shared" si="1"/>
        <v>#REF!</v>
      </c>
    </row>
    <row r="37" spans="1:10" s="243" customFormat="1" ht="18" customHeight="1">
      <c r="A37" s="246">
        <v>25</v>
      </c>
      <c r="B37" s="206" t="s">
        <v>38</v>
      </c>
      <c r="C37" s="244" t="s">
        <v>11</v>
      </c>
      <c r="D37" s="194" t="e">
        <f>'6мес (от плана)'!D37+#REF!</f>
        <v>#REF!</v>
      </c>
      <c r="E37" s="209" t="e">
        <f>#REF!+#REF!+#REF!+#REF!+#REF!+#REF!+#REF!</f>
        <v>#REF!</v>
      </c>
      <c r="F37" s="242">
        <f t="shared" si="2"/>
        <v>6120.816000000001</v>
      </c>
      <c r="G37" s="197">
        <v>1113.43</v>
      </c>
      <c r="H37" s="197">
        <v>5007.386</v>
      </c>
      <c r="I37" s="300" t="e">
        <f t="shared" si="0"/>
        <v>#REF!</v>
      </c>
      <c r="J37" s="301" t="e">
        <f t="shared" si="1"/>
        <v>#REF!</v>
      </c>
    </row>
    <row r="38" spans="1:10" s="243" customFormat="1" ht="18.75" customHeight="1">
      <c r="A38" s="246">
        <v>26</v>
      </c>
      <c r="B38" s="206" t="s">
        <v>39</v>
      </c>
      <c r="C38" s="244" t="s">
        <v>11</v>
      </c>
      <c r="D38" s="194" t="e">
        <f>'6мес (от плана)'!D38+#REF!</f>
        <v>#REF!</v>
      </c>
      <c r="E38" s="209" t="e">
        <f>#REF!+#REF!+#REF!+#REF!+#REF!+#REF!+#REF!</f>
        <v>#REF!</v>
      </c>
      <c r="F38" s="242">
        <f t="shared" si="2"/>
        <v>350</v>
      </c>
      <c r="G38" s="197">
        <v>59.5</v>
      </c>
      <c r="H38" s="197">
        <v>290.5</v>
      </c>
      <c r="I38" s="300" t="e">
        <f t="shared" si="0"/>
        <v>#REF!</v>
      </c>
      <c r="J38" s="301" t="e">
        <f t="shared" si="1"/>
        <v>#REF!</v>
      </c>
    </row>
    <row r="39" spans="1:10" s="243" customFormat="1" ht="16.5" customHeight="1">
      <c r="A39" s="246">
        <v>27</v>
      </c>
      <c r="B39" s="206" t="s">
        <v>40</v>
      </c>
      <c r="C39" s="244" t="s">
        <v>11</v>
      </c>
      <c r="D39" s="194" t="e">
        <f>'6мес (от плана)'!D39+#REF!</f>
        <v>#REF!</v>
      </c>
      <c r="E39" s="209" t="e">
        <f>#REF!+#REF!+#REF!+#REF!+#REF!+#REF!+#REF!</f>
        <v>#REF!</v>
      </c>
      <c r="F39" s="242">
        <f t="shared" si="2"/>
        <v>0</v>
      </c>
      <c r="G39" s="197"/>
      <c r="H39" s="197"/>
      <c r="I39" s="300" t="e">
        <f t="shared" si="0"/>
        <v>#REF!</v>
      </c>
      <c r="J39" s="301" t="e">
        <f t="shared" si="1"/>
        <v>#REF!</v>
      </c>
    </row>
    <row r="40" spans="1:10" s="243" customFormat="1" ht="18" customHeight="1">
      <c r="A40" s="246">
        <v>28</v>
      </c>
      <c r="B40" s="206" t="s">
        <v>41</v>
      </c>
      <c r="C40" s="244" t="s">
        <v>11</v>
      </c>
      <c r="D40" s="194" t="e">
        <f>'6мес (от плана)'!D40+#REF!</f>
        <v>#REF!</v>
      </c>
      <c r="E40" s="209" t="e">
        <f>#REF!+#REF!+#REF!+#REF!+#REF!+#REF!+#REF!</f>
        <v>#REF!</v>
      </c>
      <c r="F40" s="242">
        <f t="shared" si="2"/>
        <v>599.463</v>
      </c>
      <c r="G40" s="197"/>
      <c r="H40" s="197">
        <v>599.463</v>
      </c>
      <c r="I40" s="300" t="e">
        <f t="shared" si="0"/>
        <v>#REF!</v>
      </c>
      <c r="J40" s="301" t="e">
        <f t="shared" si="1"/>
        <v>#REF!</v>
      </c>
    </row>
    <row r="41" spans="1:10" s="243" customFormat="1" ht="16.5" customHeight="1">
      <c r="A41" s="246">
        <v>29</v>
      </c>
      <c r="B41" s="247" t="s">
        <v>42</v>
      </c>
      <c r="C41" s="244" t="s">
        <v>11</v>
      </c>
      <c r="D41" s="194" t="e">
        <f>'6мес (от плана)'!D41+#REF!</f>
        <v>#REF!</v>
      </c>
      <c r="E41" s="209" t="e">
        <f>#REF!+#REF!+#REF!+#REF!+#REF!+#REF!+#REF!</f>
        <v>#REF!</v>
      </c>
      <c r="F41" s="242">
        <f t="shared" si="2"/>
        <v>250.93900000000002</v>
      </c>
      <c r="G41" s="197">
        <v>5.08</v>
      </c>
      <c r="H41" s="197">
        <v>245.859</v>
      </c>
      <c r="I41" s="300" t="e">
        <f t="shared" si="0"/>
        <v>#REF!</v>
      </c>
      <c r="J41" s="301" t="e">
        <f t="shared" si="1"/>
        <v>#REF!</v>
      </c>
    </row>
    <row r="42" spans="1:10" s="243" customFormat="1" ht="16.5" customHeight="1">
      <c r="A42" s="246">
        <v>30</v>
      </c>
      <c r="B42" s="206" t="s">
        <v>43</v>
      </c>
      <c r="C42" s="244" t="s">
        <v>11</v>
      </c>
      <c r="D42" s="194" t="e">
        <f>'6мес (от плана)'!D42+#REF!</f>
        <v>#REF!</v>
      </c>
      <c r="E42" s="209" t="e">
        <f>#REF!+#REF!+#REF!+#REF!+#REF!+#REF!+#REF!</f>
        <v>#REF!</v>
      </c>
      <c r="F42" s="242">
        <f t="shared" si="2"/>
        <v>0</v>
      </c>
      <c r="G42" s="197">
        <v>0</v>
      </c>
      <c r="H42" s="197">
        <v>0</v>
      </c>
      <c r="I42" s="300" t="e">
        <f t="shared" si="0"/>
        <v>#REF!</v>
      </c>
      <c r="J42" s="301" t="e">
        <f t="shared" si="1"/>
        <v>#REF!</v>
      </c>
    </row>
    <row r="43" spans="1:10" s="243" customFormat="1" ht="16.5" customHeight="1">
      <c r="A43" s="246">
        <v>31</v>
      </c>
      <c r="B43" s="206" t="s">
        <v>143</v>
      </c>
      <c r="C43" s="244" t="s">
        <v>11</v>
      </c>
      <c r="D43" s="194" t="e">
        <f>'6мес (от плана)'!D43+#REF!</f>
        <v>#REF!</v>
      </c>
      <c r="E43" s="209" t="e">
        <f>#REF!+#REF!+#REF!+#REF!+#REF!+#REF!+#REF!</f>
        <v>#REF!</v>
      </c>
      <c r="F43" s="242">
        <f t="shared" si="2"/>
        <v>126.931</v>
      </c>
      <c r="G43" s="197">
        <f>24.027-4.934</f>
        <v>19.093</v>
      </c>
      <c r="H43" s="197">
        <v>107.838</v>
      </c>
      <c r="I43" s="300" t="e">
        <f t="shared" si="0"/>
        <v>#REF!</v>
      </c>
      <c r="J43" s="301" t="e">
        <f t="shared" si="1"/>
        <v>#REF!</v>
      </c>
    </row>
    <row r="44" spans="1:10" s="28" customFormat="1" ht="18" customHeight="1">
      <c r="A44" s="20">
        <v>32</v>
      </c>
      <c r="B44" s="30" t="s">
        <v>45</v>
      </c>
      <c r="C44" s="22" t="s">
        <v>11</v>
      </c>
      <c r="D44" s="23" t="e">
        <f>'6мес (от плана)'!D44+#REF!</f>
        <v>#REF!</v>
      </c>
      <c r="E44" s="26" t="e">
        <f>#REF!+#REF!+#REF!+#REF!+#REF!+#REF!+#REF!</f>
        <v>#REF!</v>
      </c>
      <c r="F44" s="242">
        <f t="shared" si="2"/>
        <v>1210</v>
      </c>
      <c r="G44" s="197">
        <v>205.7</v>
      </c>
      <c r="H44" s="197">
        <v>1004.3</v>
      </c>
      <c r="I44" s="145" t="e">
        <f t="shared" si="0"/>
        <v>#REF!</v>
      </c>
      <c r="J44" s="9" t="e">
        <f t="shared" si="1"/>
        <v>#REF!</v>
      </c>
    </row>
    <row r="45" spans="1:10" s="28" customFormat="1" ht="18" customHeight="1">
      <c r="A45" s="20">
        <v>33</v>
      </c>
      <c r="B45" s="30" t="s">
        <v>46</v>
      </c>
      <c r="C45" s="22" t="s">
        <v>11</v>
      </c>
      <c r="D45" s="23" t="e">
        <f>'6мес (от плана)'!D45+#REF!</f>
        <v>#REF!</v>
      </c>
      <c r="E45" s="26" t="e">
        <f>#REF!+#REF!+#REF!+#REF!+#REF!+#REF!+#REF!</f>
        <v>#REF!</v>
      </c>
      <c r="F45" s="242">
        <f t="shared" si="2"/>
        <v>5973.414999999999</v>
      </c>
      <c r="G45" s="197">
        <f>8.9964+126.6755+84.214+5.851+26.566+3.876+54.351+14.344</f>
        <v>324.8739</v>
      </c>
      <c r="H45" s="197">
        <f>43.9236+618.4745+1120.5+28.566+129.702+18.924+265.362+66.696+430.644+1295.597+545.885+841.991+242.276</f>
        <v>5648.5410999999995</v>
      </c>
      <c r="I45" s="145" t="e">
        <f t="shared" si="0"/>
        <v>#REF!</v>
      </c>
      <c r="J45" s="9" t="e">
        <f t="shared" si="1"/>
        <v>#REF!</v>
      </c>
    </row>
    <row r="46" spans="1:10" s="28" customFormat="1" ht="18" customHeight="1">
      <c r="A46" s="20">
        <v>34</v>
      </c>
      <c r="B46" s="30" t="s">
        <v>196</v>
      </c>
      <c r="C46" s="22" t="s">
        <v>11</v>
      </c>
      <c r="D46" s="23" t="e">
        <f>'6мес (от плана)'!D46+#REF!</f>
        <v>#REF!</v>
      </c>
      <c r="E46" s="26" t="e">
        <f>#REF!+#REF!+#REF!+#REF!+#REF!+#REF!+#REF!</f>
        <v>#REF!</v>
      </c>
      <c r="F46" s="242">
        <f>G46+H46</f>
        <v>60.875</v>
      </c>
      <c r="G46" s="197">
        <f>3.027+2.465+4.857</f>
        <v>10.349</v>
      </c>
      <c r="H46" s="197">
        <f>14.777+12.035+23.714</f>
        <v>50.525999999999996</v>
      </c>
      <c r="I46" s="145" t="e">
        <f>G46-D46</f>
        <v>#REF!</v>
      </c>
      <c r="J46" s="9" t="e">
        <f>G46/D46*100</f>
        <v>#REF!</v>
      </c>
    </row>
    <row r="47" spans="1:10" s="28" customFormat="1" ht="18" customHeight="1">
      <c r="A47" s="20">
        <v>35</v>
      </c>
      <c r="B47" s="30" t="s">
        <v>197</v>
      </c>
      <c r="C47" s="22" t="s">
        <v>11</v>
      </c>
      <c r="D47" s="23" t="e">
        <f>'6мес (от плана)'!D47+#REF!</f>
        <v>#REF!</v>
      </c>
      <c r="E47" s="26" t="e">
        <f>#REF!+#REF!+#REF!+#REF!+#REF!+#REF!+#REF!</f>
        <v>#REF!</v>
      </c>
      <c r="F47" s="242">
        <f>G47+H47</f>
        <v>356.8804099999999</v>
      </c>
      <c r="G47" s="197">
        <f>(411.84702+13.73661)*0.17-68.70322*0.17</f>
        <v>60.6696697</v>
      </c>
      <c r="H47" s="197">
        <f>(411.84702+13.73661)*0.83-68.70322*0.83</f>
        <v>296.21074029999994</v>
      </c>
      <c r="I47" s="145" t="e">
        <f>G47-D47</f>
        <v>#REF!</v>
      </c>
      <c r="J47" s="9" t="e">
        <f>G47/D47*100</f>
        <v>#REF!</v>
      </c>
    </row>
    <row r="48" spans="1:10" s="28" customFormat="1" ht="18" customHeight="1">
      <c r="A48" s="20">
        <v>36</v>
      </c>
      <c r="B48" s="30" t="s">
        <v>198</v>
      </c>
      <c r="C48" s="22" t="s">
        <v>11</v>
      </c>
      <c r="D48" s="23" t="e">
        <f>'6мес (от плана)'!D48+#REF!</f>
        <v>#REF!</v>
      </c>
      <c r="E48" s="26" t="e">
        <f>#REF!+#REF!+#REF!+#REF!+#REF!+#REF!+#REF!</f>
        <v>#REF!</v>
      </c>
      <c r="F48" s="242">
        <f>G48+H48</f>
        <v>6.89643</v>
      </c>
      <c r="G48" s="197">
        <f>6.89643*0.17</f>
        <v>1.1723931</v>
      </c>
      <c r="H48" s="197">
        <f>6.89643*0.83</f>
        <v>5.7240369</v>
      </c>
      <c r="I48" s="145" t="e">
        <f>G48-D48</f>
        <v>#REF!</v>
      </c>
      <c r="J48" s="9" t="e">
        <f>G48/D48*100</f>
        <v>#REF!</v>
      </c>
    </row>
    <row r="49" spans="1:10" s="28" customFormat="1" ht="18" customHeight="1">
      <c r="A49" s="20">
        <v>37</v>
      </c>
      <c r="B49" s="30" t="s">
        <v>199</v>
      </c>
      <c r="C49" s="22" t="s">
        <v>11</v>
      </c>
      <c r="D49" s="23" t="e">
        <f>'6мес (от плана)'!D49+#REF!</f>
        <v>#REF!</v>
      </c>
      <c r="E49" s="26" t="e">
        <f>#REF!+#REF!+#REF!+#REF!+#REF!+#REF!+#REF!</f>
        <v>#REF!</v>
      </c>
      <c r="F49" s="242">
        <f>G49+H49</f>
        <v>20.77038</v>
      </c>
      <c r="G49" s="197">
        <f>20.77038*0.17</f>
        <v>3.5309646000000003</v>
      </c>
      <c r="H49" s="197">
        <f>20.77038*0.83</f>
        <v>17.2394154</v>
      </c>
      <c r="I49" s="145" t="e">
        <f>G49-D49</f>
        <v>#REF!</v>
      </c>
      <c r="J49" s="9" t="e">
        <f>G49/D49*100</f>
        <v>#REF!</v>
      </c>
    </row>
    <row r="50" spans="1:10" s="28" customFormat="1" ht="33" customHeight="1" thickBot="1">
      <c r="A50" s="20">
        <v>38</v>
      </c>
      <c r="B50" s="302" t="s">
        <v>200</v>
      </c>
      <c r="C50" s="22" t="s">
        <v>11</v>
      </c>
      <c r="D50" s="23" t="e">
        <f>'6мес (от плана)'!D50+#REF!</f>
        <v>#REF!</v>
      </c>
      <c r="E50" s="26" t="e">
        <f>#REF!+#REF!+#REF!+#REF!+#REF!+#REF!+#REF!</f>
        <v>#REF!</v>
      </c>
      <c r="F50" s="242">
        <f>G50+H50</f>
        <v>168</v>
      </c>
      <c r="G50" s="197">
        <v>28.56</v>
      </c>
      <c r="H50" s="197">
        <v>139.44</v>
      </c>
      <c r="I50" s="145" t="e">
        <f>G50-D50</f>
        <v>#REF!</v>
      </c>
      <c r="J50" s="9" t="e">
        <f>G50/D50*100</f>
        <v>#REF!</v>
      </c>
    </row>
    <row r="51" spans="1:10" s="28" customFormat="1" ht="24.75" customHeight="1" thickBot="1">
      <c r="A51" s="39"/>
      <c r="B51" s="40" t="s">
        <v>47</v>
      </c>
      <c r="C51" s="41" t="s">
        <v>11</v>
      </c>
      <c r="D51" s="202" t="e">
        <f>SUM(D11:D21)</f>
        <v>#REF!</v>
      </c>
      <c r="E51" s="42" t="e">
        <f>E11+E12+E14+E15+E16+E17+E19+E21+E20</f>
        <v>#REF!</v>
      </c>
      <c r="F51" s="42">
        <f>F11+F12+F13+F14+F15+F16+F17+F19+F21+F20</f>
        <v>297533.125935</v>
      </c>
      <c r="G51" s="42">
        <f>G11+G12+G13+G14+G15+G16+G17+G19+G21+G20</f>
        <v>46143.012127600006</v>
      </c>
      <c r="H51" s="42">
        <f>H11+H12+H13+H14+H15+H16+H17+H19+H21+H20</f>
        <v>251390.11380739996</v>
      </c>
      <c r="I51" s="42" t="e">
        <f t="shared" si="0"/>
        <v>#REF!</v>
      </c>
      <c r="J51" s="42" t="e">
        <f t="shared" si="1"/>
        <v>#REF!</v>
      </c>
    </row>
    <row r="52" spans="1:10" s="28" customFormat="1" ht="22.5" customHeight="1" thickBot="1">
      <c r="A52" s="43"/>
      <c r="B52" s="44" t="s">
        <v>48</v>
      </c>
      <c r="C52" s="41" t="s">
        <v>11</v>
      </c>
      <c r="D52" s="144" t="e">
        <f>SUM(D53:D69)+SUM(D75:D96)</f>
        <v>#REF!</v>
      </c>
      <c r="E52" s="45" t="e">
        <f>SUM(E53:E69)+SUM(E75:E84)</f>
        <v>#REF!</v>
      </c>
      <c r="F52" s="45">
        <f>SUM(F53:F69)+SUM(F75:F96)</f>
        <v>13595.80069666</v>
      </c>
      <c r="G52" s="45">
        <f>SUM(G53:G69)+SUM(G75:G96)</f>
        <v>1917.7428895</v>
      </c>
      <c r="H52" s="45">
        <f>SUM(H53:H69)+SUM(H75:H96)</f>
        <v>11678.05780716</v>
      </c>
      <c r="I52" s="45" t="e">
        <f t="shared" si="0"/>
        <v>#REF!</v>
      </c>
      <c r="J52" s="45" t="e">
        <f t="shared" si="1"/>
        <v>#REF!</v>
      </c>
    </row>
    <row r="53" spans="1:10" s="28" customFormat="1" ht="18" customHeight="1">
      <c r="A53" s="46"/>
      <c r="B53" s="47" t="s">
        <v>49</v>
      </c>
      <c r="C53" s="48" t="s">
        <v>11</v>
      </c>
      <c r="D53" s="23" t="e">
        <f>'6мес (от плана)'!D53+#REF!</f>
        <v>#REF!</v>
      </c>
      <c r="E53" s="49" t="e">
        <f>#REF!+#REF!+#REF!+#REF!+#REF!+#REF!+#REF!</f>
        <v>#REF!</v>
      </c>
      <c r="F53" s="242">
        <f>G53+H53</f>
        <v>0</v>
      </c>
      <c r="G53" s="197"/>
      <c r="H53" s="197"/>
      <c r="I53" s="145" t="e">
        <f t="shared" si="0"/>
        <v>#REF!</v>
      </c>
      <c r="J53" s="9" t="e">
        <f t="shared" si="1"/>
        <v>#REF!</v>
      </c>
    </row>
    <row r="54" spans="1:10" s="28" customFormat="1" ht="36" customHeight="1">
      <c r="A54" s="46"/>
      <c r="B54" s="120" t="s">
        <v>126</v>
      </c>
      <c r="C54" s="22" t="s">
        <v>11</v>
      </c>
      <c r="D54" s="23" t="e">
        <f>'6мес (от плана)'!D54+#REF!</f>
        <v>#REF!</v>
      </c>
      <c r="E54" s="26"/>
      <c r="F54" s="242">
        <f aca="true" t="shared" si="3" ref="F54:F96">G54+H54</f>
        <v>0</v>
      </c>
      <c r="G54" s="197"/>
      <c r="H54" s="197"/>
      <c r="I54" s="145" t="e">
        <f t="shared" si="0"/>
        <v>#REF!</v>
      </c>
      <c r="J54" s="9" t="e">
        <f t="shared" si="1"/>
        <v>#REF!</v>
      </c>
    </row>
    <row r="55" spans="1:10" s="28" customFormat="1" ht="18" customHeight="1">
      <c r="A55" s="46"/>
      <c r="B55" s="30" t="s">
        <v>43</v>
      </c>
      <c r="C55" s="22" t="s">
        <v>11</v>
      </c>
      <c r="D55" s="23" t="e">
        <f>'6мес (от плана)'!D55+#REF!</f>
        <v>#REF!</v>
      </c>
      <c r="E55" s="26"/>
      <c r="F55" s="242">
        <f t="shared" si="3"/>
        <v>0</v>
      </c>
      <c r="G55" s="197"/>
      <c r="H55" s="197"/>
      <c r="I55" s="145" t="e">
        <f t="shared" si="0"/>
        <v>#REF!</v>
      </c>
      <c r="J55" s="9" t="e">
        <f t="shared" si="1"/>
        <v>#REF!</v>
      </c>
    </row>
    <row r="56" spans="1:10" s="28" customFormat="1" ht="18" customHeight="1">
      <c r="A56" s="46"/>
      <c r="B56" s="30" t="s">
        <v>44</v>
      </c>
      <c r="C56" s="22" t="s">
        <v>11</v>
      </c>
      <c r="D56" s="23" t="e">
        <f>'6мес (от плана)'!D56+#REF!</f>
        <v>#REF!</v>
      </c>
      <c r="E56" s="26"/>
      <c r="F56" s="242">
        <f t="shared" si="3"/>
        <v>0</v>
      </c>
      <c r="G56" s="197"/>
      <c r="H56" s="197"/>
      <c r="I56" s="145" t="e">
        <f t="shared" si="0"/>
        <v>#REF!</v>
      </c>
      <c r="J56" s="9" t="e">
        <f t="shared" si="1"/>
        <v>#REF!</v>
      </c>
    </row>
    <row r="57" spans="1:10" s="28" customFormat="1" ht="35.25" customHeight="1">
      <c r="A57" s="50"/>
      <c r="B57" s="51" t="s">
        <v>50</v>
      </c>
      <c r="C57" s="22" t="s">
        <v>11</v>
      </c>
      <c r="D57" s="23" t="e">
        <f>'6мес (от плана)'!D57+#REF!</f>
        <v>#REF!</v>
      </c>
      <c r="E57" s="26"/>
      <c r="F57" s="242">
        <f t="shared" si="3"/>
        <v>0</v>
      </c>
      <c r="G57" s="197"/>
      <c r="H57" s="197"/>
      <c r="I57" s="145" t="e">
        <f t="shared" si="0"/>
        <v>#REF!</v>
      </c>
      <c r="J57" s="9" t="e">
        <f t="shared" si="1"/>
        <v>#REF!</v>
      </c>
    </row>
    <row r="58" spans="1:10" s="28" customFormat="1" ht="16.5" customHeight="1">
      <c r="A58" s="20"/>
      <c r="B58" s="25" t="s">
        <v>51</v>
      </c>
      <c r="C58" s="22" t="s">
        <v>11</v>
      </c>
      <c r="D58" s="23" t="e">
        <f>'6мес (от плана)'!D58+#REF!</f>
        <v>#REF!</v>
      </c>
      <c r="E58" s="31"/>
      <c r="F58" s="242">
        <f t="shared" si="3"/>
        <v>0</v>
      </c>
      <c r="G58" s="197"/>
      <c r="H58" s="197"/>
      <c r="I58" s="145" t="e">
        <f t="shared" si="0"/>
        <v>#REF!</v>
      </c>
      <c r="J58" s="9" t="e">
        <f t="shared" si="1"/>
        <v>#REF!</v>
      </c>
    </row>
    <row r="59" spans="1:10" s="28" customFormat="1" ht="18" customHeight="1">
      <c r="A59" s="52"/>
      <c r="B59" s="25" t="s">
        <v>52</v>
      </c>
      <c r="C59" s="22" t="s">
        <v>11</v>
      </c>
      <c r="D59" s="23" t="e">
        <f>'6мес (от плана)'!D59+#REF!</f>
        <v>#REF!</v>
      </c>
      <c r="E59" s="37"/>
      <c r="F59" s="242">
        <f t="shared" si="3"/>
        <v>0</v>
      </c>
      <c r="G59" s="197"/>
      <c r="H59" s="197"/>
      <c r="I59" s="145" t="e">
        <f t="shared" si="0"/>
        <v>#REF!</v>
      </c>
      <c r="J59" s="9" t="e">
        <f t="shared" si="1"/>
        <v>#REF!</v>
      </c>
    </row>
    <row r="60" spans="1:10" s="28" customFormat="1" ht="18" customHeight="1">
      <c r="A60" s="52"/>
      <c r="B60" s="25" t="s">
        <v>53</v>
      </c>
      <c r="C60" s="22" t="s">
        <v>11</v>
      </c>
      <c r="D60" s="23" t="e">
        <f>'6мес (от плана)'!D60+#REF!</f>
        <v>#REF!</v>
      </c>
      <c r="E60" s="37"/>
      <c r="F60" s="242">
        <f t="shared" si="3"/>
        <v>0</v>
      </c>
      <c r="G60" s="197"/>
      <c r="H60" s="197"/>
      <c r="I60" s="145" t="e">
        <f t="shared" si="0"/>
        <v>#REF!</v>
      </c>
      <c r="J60" s="9" t="e">
        <f t="shared" si="1"/>
        <v>#REF!</v>
      </c>
    </row>
    <row r="61" spans="1:10" s="28" customFormat="1" ht="18" customHeight="1">
      <c r="A61" s="52"/>
      <c r="B61" s="25" t="s">
        <v>46</v>
      </c>
      <c r="C61" s="22" t="s">
        <v>11</v>
      </c>
      <c r="D61" s="23" t="e">
        <f>'6мес (от плана)'!D61+#REF!</f>
        <v>#REF!</v>
      </c>
      <c r="E61" s="37"/>
      <c r="F61" s="242">
        <f t="shared" si="3"/>
        <v>928.5920000000001</v>
      </c>
      <c r="G61" s="197">
        <f>229.5+13.661+88.204+265.363+111.808+172.456+47.6</f>
        <v>928.5920000000001</v>
      </c>
      <c r="H61" s="197"/>
      <c r="I61" s="145" t="e">
        <f t="shared" si="0"/>
        <v>#REF!</v>
      </c>
      <c r="J61" s="9" t="e">
        <f t="shared" si="1"/>
        <v>#REF!</v>
      </c>
    </row>
    <row r="62" spans="1:10" s="28" customFormat="1" ht="16.5" customHeight="1">
      <c r="A62" s="50"/>
      <c r="B62" s="30" t="s">
        <v>124</v>
      </c>
      <c r="C62" s="22" t="s">
        <v>11</v>
      </c>
      <c r="D62" s="23" t="e">
        <f>'6мес (от плана)'!D62+#REF!</f>
        <v>#REF!</v>
      </c>
      <c r="E62" s="26"/>
      <c r="F62" s="242">
        <f t="shared" si="3"/>
        <v>0</v>
      </c>
      <c r="G62" s="197"/>
      <c r="H62" s="197"/>
      <c r="I62" s="145" t="e">
        <f t="shared" si="0"/>
        <v>#REF!</v>
      </c>
      <c r="J62" s="9" t="e">
        <f t="shared" si="1"/>
        <v>#REF!</v>
      </c>
    </row>
    <row r="63" spans="1:10" s="28" customFormat="1" ht="16.5" customHeight="1">
      <c r="A63" s="50"/>
      <c r="B63" s="30" t="s">
        <v>54</v>
      </c>
      <c r="C63" s="22" t="s">
        <v>11</v>
      </c>
      <c r="D63" s="23" t="e">
        <f>'6мес (от плана)'!D63+#REF!</f>
        <v>#REF!</v>
      </c>
      <c r="E63" s="26"/>
      <c r="F63" s="242">
        <f t="shared" si="3"/>
        <v>0</v>
      </c>
      <c r="G63" s="197"/>
      <c r="H63" s="197"/>
      <c r="I63" s="145" t="e">
        <f t="shared" si="0"/>
        <v>#REF!</v>
      </c>
      <c r="J63" s="9" t="e">
        <f t="shared" si="1"/>
        <v>#REF!</v>
      </c>
    </row>
    <row r="64" spans="1:10" s="28" customFormat="1" ht="16.5" customHeight="1">
      <c r="A64" s="50"/>
      <c r="B64" s="30" t="s">
        <v>26</v>
      </c>
      <c r="C64" s="22" t="s">
        <v>11</v>
      </c>
      <c r="D64" s="23" t="e">
        <f>'6мес (от плана)'!D64+#REF!</f>
        <v>#REF!</v>
      </c>
      <c r="E64" s="26"/>
      <c r="F64" s="242">
        <f t="shared" si="3"/>
        <v>6803.401</v>
      </c>
      <c r="G64" s="197">
        <v>76.168</v>
      </c>
      <c r="H64" s="197">
        <v>6727.233</v>
      </c>
      <c r="I64" s="145" t="e">
        <f t="shared" si="0"/>
        <v>#REF!</v>
      </c>
      <c r="J64" s="9" t="e">
        <f t="shared" si="1"/>
        <v>#REF!</v>
      </c>
    </row>
    <row r="65" spans="1:10" s="28" customFormat="1" ht="16.5" customHeight="1">
      <c r="A65" s="50"/>
      <c r="B65" s="30" t="s">
        <v>55</v>
      </c>
      <c r="C65" s="22" t="s">
        <v>11</v>
      </c>
      <c r="D65" s="23" t="e">
        <f>'6мес (от плана)'!D65+#REF!</f>
        <v>#REF!</v>
      </c>
      <c r="E65" s="26"/>
      <c r="F65" s="242">
        <f t="shared" si="3"/>
        <v>104.466</v>
      </c>
      <c r="G65" s="197">
        <v>17.759</v>
      </c>
      <c r="H65" s="197">
        <v>86.707</v>
      </c>
      <c r="I65" s="145" t="e">
        <f t="shared" si="0"/>
        <v>#REF!</v>
      </c>
      <c r="J65" s="9" t="e">
        <f t="shared" si="1"/>
        <v>#REF!</v>
      </c>
    </row>
    <row r="66" spans="1:10" s="28" customFormat="1" ht="36" customHeight="1">
      <c r="A66" s="50"/>
      <c r="B66" s="51" t="s">
        <v>117</v>
      </c>
      <c r="C66" s="22" t="s">
        <v>11</v>
      </c>
      <c r="D66" s="23" t="e">
        <f>'6мес (от плана)'!D66+#REF!</f>
        <v>#REF!</v>
      </c>
      <c r="E66" s="26"/>
      <c r="F66" s="242">
        <f t="shared" si="3"/>
        <v>202.401</v>
      </c>
      <c r="G66" s="210">
        <f>16.957+12.92+4.119</f>
        <v>33.996</v>
      </c>
      <c r="H66" s="197">
        <f>82.79+63.08+22.535</f>
        <v>168.405</v>
      </c>
      <c r="I66" s="145" t="e">
        <f t="shared" si="0"/>
        <v>#REF!</v>
      </c>
      <c r="J66" s="9" t="e">
        <f t="shared" si="1"/>
        <v>#REF!</v>
      </c>
    </row>
    <row r="67" spans="1:10" s="28" customFormat="1" ht="18" customHeight="1" thickBot="1">
      <c r="A67" s="54"/>
      <c r="B67" s="241" t="s">
        <v>132</v>
      </c>
      <c r="C67" s="38" t="s">
        <v>11</v>
      </c>
      <c r="D67" s="23" t="e">
        <f>'6мес (от плана)'!D67+#REF!</f>
        <v>#REF!</v>
      </c>
      <c r="E67" s="129"/>
      <c r="F67" s="242">
        <f t="shared" si="3"/>
        <v>0</v>
      </c>
      <c r="G67" s="197"/>
      <c r="H67" s="197"/>
      <c r="I67" s="145" t="e">
        <f t="shared" si="0"/>
        <v>#REF!</v>
      </c>
      <c r="J67" s="9" t="e">
        <f t="shared" si="1"/>
        <v>#REF!</v>
      </c>
    </row>
    <row r="68" spans="1:10" s="28" customFormat="1" ht="20.25" customHeight="1">
      <c r="A68" s="219"/>
      <c r="B68" s="221" t="s">
        <v>56</v>
      </c>
      <c r="C68" s="220" t="s">
        <v>11</v>
      </c>
      <c r="D68" s="23" t="e">
        <f>'6мес (от плана)'!D68+#REF!</f>
        <v>#REF!</v>
      </c>
      <c r="E68" s="222"/>
      <c r="F68" s="242">
        <f t="shared" si="3"/>
        <v>0</v>
      </c>
      <c r="G68" s="197"/>
      <c r="H68" s="197"/>
      <c r="I68" s="145" t="e">
        <f t="shared" si="0"/>
        <v>#REF!</v>
      </c>
      <c r="J68" s="9" t="e">
        <f t="shared" si="1"/>
        <v>#REF!</v>
      </c>
    </row>
    <row r="69" spans="1:10" s="28" customFormat="1" ht="18" customHeight="1">
      <c r="A69" s="50"/>
      <c r="B69" s="125" t="s">
        <v>57</v>
      </c>
      <c r="C69" s="22" t="s">
        <v>11</v>
      </c>
      <c r="D69" s="23" t="e">
        <f>SUM(D70:D74)</f>
        <v>#REF!</v>
      </c>
      <c r="E69" s="23">
        <f>SUM(E70:E74)</f>
        <v>0</v>
      </c>
      <c r="F69" s="17">
        <f>SUM(F70:F74)</f>
        <v>4977.40762</v>
      </c>
      <c r="G69" s="17">
        <f>SUM(G70:G74)</f>
        <v>683.3389999999999</v>
      </c>
      <c r="H69" s="17">
        <f>SUM(H70:H74)</f>
        <v>4294.06862</v>
      </c>
      <c r="I69" s="145" t="e">
        <f t="shared" si="0"/>
        <v>#REF!</v>
      </c>
      <c r="J69" s="9" t="e">
        <f t="shared" si="1"/>
        <v>#REF!</v>
      </c>
    </row>
    <row r="70" spans="1:10" s="28" customFormat="1" ht="16.5" customHeight="1">
      <c r="A70" s="46"/>
      <c r="B70" s="273" t="s">
        <v>58</v>
      </c>
      <c r="C70" s="48" t="s">
        <v>11</v>
      </c>
      <c r="D70" s="23" t="e">
        <f>'6мес (от плана)'!D70+#REF!</f>
        <v>#REF!</v>
      </c>
      <c r="E70" s="55"/>
      <c r="F70" s="214">
        <f>G70+H70</f>
        <v>342.953</v>
      </c>
      <c r="G70" s="197">
        <f>21.9606+21.81916</f>
        <v>43.779759999999996</v>
      </c>
      <c r="H70" s="197">
        <f>192.6444+106.52884</f>
        <v>299.17323999999996</v>
      </c>
      <c r="I70" s="145" t="e">
        <f t="shared" si="0"/>
        <v>#REF!</v>
      </c>
      <c r="J70" s="9" t="e">
        <f t="shared" si="1"/>
        <v>#REF!</v>
      </c>
    </row>
    <row r="71" spans="1:10" s="28" customFormat="1" ht="16.5" customHeight="1">
      <c r="A71" s="50"/>
      <c r="B71" s="273" t="s">
        <v>59</v>
      </c>
      <c r="C71" s="22" t="s">
        <v>11</v>
      </c>
      <c r="D71" s="23" t="e">
        <f>'6мес (от плана)'!D71+#REF!</f>
        <v>#REF!</v>
      </c>
      <c r="E71" s="35"/>
      <c r="F71" s="214">
        <f t="shared" si="3"/>
        <v>1650.4845999999998</v>
      </c>
      <c r="G71" s="197">
        <f>159.395+66.88+19.8356</f>
        <v>246.1106</v>
      </c>
      <c r="H71" s="197">
        <f>955.605+341.12+96.8444+10.8046</f>
        <v>1404.3739999999998</v>
      </c>
      <c r="I71" s="145" t="e">
        <f t="shared" si="0"/>
        <v>#REF!</v>
      </c>
      <c r="J71" s="9" t="e">
        <f t="shared" si="1"/>
        <v>#REF!</v>
      </c>
    </row>
    <row r="72" spans="1:10" s="28" customFormat="1" ht="16.5" customHeight="1">
      <c r="A72" s="46"/>
      <c r="B72" s="273" t="s">
        <v>149</v>
      </c>
      <c r="C72" s="48" t="s">
        <v>11</v>
      </c>
      <c r="D72" s="23" t="e">
        <f>'6мес (от плана)'!D72+#REF!</f>
        <v>#REF!</v>
      </c>
      <c r="E72" s="58"/>
      <c r="F72" s="214">
        <f t="shared" si="3"/>
        <v>0</v>
      </c>
      <c r="G72" s="197"/>
      <c r="H72" s="197"/>
      <c r="I72" s="145" t="e">
        <f t="shared" si="0"/>
        <v>#REF!</v>
      </c>
      <c r="J72" s="9" t="e">
        <f t="shared" si="1"/>
        <v>#REF!</v>
      </c>
    </row>
    <row r="73" spans="1:10" s="28" customFormat="1" ht="16.5" customHeight="1">
      <c r="A73" s="46"/>
      <c r="B73" s="273" t="s">
        <v>130</v>
      </c>
      <c r="C73" s="48" t="s">
        <v>11</v>
      </c>
      <c r="D73" s="23" t="e">
        <f>'6мес (от плана)'!D73+#REF!</f>
        <v>#REF!</v>
      </c>
      <c r="E73" s="58"/>
      <c r="F73" s="214">
        <f t="shared" si="3"/>
        <v>636.93362</v>
      </c>
      <c r="G73" s="197">
        <v>73.9971</v>
      </c>
      <c r="H73" s="197">
        <v>562.93652</v>
      </c>
      <c r="I73" s="145" t="e">
        <f t="shared" si="0"/>
        <v>#REF!</v>
      </c>
      <c r="J73" s="9" t="e">
        <f t="shared" si="1"/>
        <v>#REF!</v>
      </c>
    </row>
    <row r="74" spans="1:10" s="28" customFormat="1" ht="16.5" customHeight="1">
      <c r="A74" s="50"/>
      <c r="B74" s="273" t="s">
        <v>157</v>
      </c>
      <c r="C74" s="22" t="s">
        <v>11</v>
      </c>
      <c r="D74" s="23" t="e">
        <f>'6мес (от плана)'!D74+#REF!</f>
        <v>#REF!</v>
      </c>
      <c r="E74" s="59"/>
      <c r="F74" s="214">
        <f t="shared" si="3"/>
        <v>2347.0364</v>
      </c>
      <c r="G74" s="197">
        <f>17.81015+12.38779+289.2536</f>
        <v>319.45154</v>
      </c>
      <c r="H74" s="197">
        <f>86.95545+78.92506+1861.70435</f>
        <v>2027.58486</v>
      </c>
      <c r="I74" s="145" t="e">
        <f t="shared" si="0"/>
        <v>#REF!</v>
      </c>
      <c r="J74" s="9" t="e">
        <f t="shared" si="1"/>
        <v>#REF!</v>
      </c>
    </row>
    <row r="75" spans="1:10" s="28" customFormat="1" ht="18" customHeight="1">
      <c r="A75" s="52"/>
      <c r="B75" s="53" t="s">
        <v>60</v>
      </c>
      <c r="C75" s="22" t="s">
        <v>11</v>
      </c>
      <c r="D75" s="23" t="e">
        <f>'6мес (от плана)'!D75+#REF!</f>
        <v>#REF!</v>
      </c>
      <c r="E75" s="37"/>
      <c r="F75" s="242">
        <f t="shared" si="3"/>
        <v>44.701225</v>
      </c>
      <c r="G75" s="197">
        <v>44.701225</v>
      </c>
      <c r="H75" s="197"/>
      <c r="I75" s="145" t="e">
        <f t="shared" si="0"/>
        <v>#REF!</v>
      </c>
      <c r="J75" s="9" t="e">
        <f t="shared" si="1"/>
        <v>#REF!</v>
      </c>
    </row>
    <row r="76" spans="1:10" s="28" customFormat="1" ht="18" customHeight="1">
      <c r="A76" s="52"/>
      <c r="B76" s="53" t="s">
        <v>125</v>
      </c>
      <c r="C76" s="22" t="s">
        <v>11</v>
      </c>
      <c r="D76" s="23" t="e">
        <f>'6мес (от плана)'!D76+#REF!</f>
        <v>#REF!</v>
      </c>
      <c r="E76" s="37"/>
      <c r="F76" s="242">
        <f t="shared" si="3"/>
        <v>0</v>
      </c>
      <c r="G76" s="197"/>
      <c r="H76" s="197"/>
      <c r="I76" s="145" t="e">
        <f t="shared" si="0"/>
        <v>#REF!</v>
      </c>
      <c r="J76" s="9" t="e">
        <f t="shared" si="1"/>
        <v>#REF!</v>
      </c>
    </row>
    <row r="77" spans="1:10" s="28" customFormat="1" ht="18" customHeight="1">
      <c r="A77" s="52"/>
      <c r="B77" s="53" t="s">
        <v>61</v>
      </c>
      <c r="C77" s="22" t="s">
        <v>11</v>
      </c>
      <c r="D77" s="23" t="e">
        <f>'6мес (от плана)'!D77+#REF!</f>
        <v>#REF!</v>
      </c>
      <c r="E77" s="37"/>
      <c r="F77" s="242">
        <f t="shared" si="3"/>
        <v>0</v>
      </c>
      <c r="G77" s="197"/>
      <c r="H77" s="197"/>
      <c r="I77" s="145" t="e">
        <f t="shared" si="0"/>
        <v>#REF!</v>
      </c>
      <c r="J77" s="9" t="e">
        <f t="shared" si="1"/>
        <v>#REF!</v>
      </c>
    </row>
    <row r="78" spans="1:10" s="28" customFormat="1" ht="18" customHeight="1">
      <c r="A78" s="52"/>
      <c r="B78" s="53" t="s">
        <v>62</v>
      </c>
      <c r="C78" s="22" t="s">
        <v>11</v>
      </c>
      <c r="D78" s="23" t="e">
        <f>'6мес (от плана)'!D78+#REF!</f>
        <v>#REF!</v>
      </c>
      <c r="E78" s="37"/>
      <c r="F78" s="242">
        <f t="shared" si="3"/>
        <v>120.75999999999999</v>
      </c>
      <c r="G78" s="197">
        <v>20.529</v>
      </c>
      <c r="H78" s="197">
        <v>100.231</v>
      </c>
      <c r="I78" s="145" t="e">
        <f aca="true" t="shared" si="4" ref="I78:I109">G78-D78</f>
        <v>#REF!</v>
      </c>
      <c r="J78" s="9" t="e">
        <f aca="true" t="shared" si="5" ref="J78:J109">G78/D78*100</f>
        <v>#REF!</v>
      </c>
    </row>
    <row r="79" spans="1:10" s="28" customFormat="1" ht="35.25" customHeight="1">
      <c r="A79" s="52"/>
      <c r="B79" s="61" t="s">
        <v>63</v>
      </c>
      <c r="C79" s="22" t="s">
        <v>11</v>
      </c>
      <c r="D79" s="23" t="e">
        <f>'6мес (от плана)'!D79+#REF!</f>
        <v>#REF!</v>
      </c>
      <c r="E79" s="37"/>
      <c r="F79" s="242">
        <f t="shared" si="3"/>
        <v>0</v>
      </c>
      <c r="G79" s="197"/>
      <c r="H79" s="197"/>
      <c r="I79" s="145" t="e">
        <f t="shared" si="4"/>
        <v>#REF!</v>
      </c>
      <c r="J79" s="9" t="e">
        <f t="shared" si="5"/>
        <v>#REF!</v>
      </c>
    </row>
    <row r="80" spans="1:10" s="28" customFormat="1" ht="30" customHeight="1">
      <c r="A80" s="52"/>
      <c r="B80" s="139" t="s">
        <v>211</v>
      </c>
      <c r="C80" s="22" t="s">
        <v>11</v>
      </c>
      <c r="D80" s="23" t="e">
        <f>'6мес (от плана)'!D80+#REF!</f>
        <v>#REF!</v>
      </c>
      <c r="E80" s="37"/>
      <c r="F80" s="242">
        <f t="shared" si="3"/>
        <v>161.11200000000002</v>
      </c>
      <c r="G80" s="197">
        <v>27.389</v>
      </c>
      <c r="H80" s="197">
        <v>133.723</v>
      </c>
      <c r="I80" s="145" t="e">
        <f t="shared" si="4"/>
        <v>#REF!</v>
      </c>
      <c r="J80" s="9" t="e">
        <f t="shared" si="5"/>
        <v>#REF!</v>
      </c>
    </row>
    <row r="81" spans="1:10" s="28" customFormat="1" ht="18" customHeight="1">
      <c r="A81" s="52"/>
      <c r="B81" s="61" t="s">
        <v>64</v>
      </c>
      <c r="C81" s="22" t="s">
        <v>11</v>
      </c>
      <c r="D81" s="23" t="e">
        <f>'6мес (от плана)'!D81+#REF!</f>
        <v>#REF!</v>
      </c>
      <c r="E81" s="37"/>
      <c r="F81" s="242">
        <f t="shared" si="3"/>
        <v>36</v>
      </c>
      <c r="G81" s="197">
        <v>6.12</v>
      </c>
      <c r="H81" s="197">
        <v>29.88</v>
      </c>
      <c r="I81" s="145" t="e">
        <f t="shared" si="4"/>
        <v>#REF!</v>
      </c>
      <c r="J81" s="9" t="e">
        <f t="shared" si="5"/>
        <v>#REF!</v>
      </c>
    </row>
    <row r="82" spans="1:10" s="28" customFormat="1" ht="36.75" customHeight="1">
      <c r="A82" s="52"/>
      <c r="B82" s="62" t="s">
        <v>65</v>
      </c>
      <c r="C82" s="22" t="s">
        <v>11</v>
      </c>
      <c r="D82" s="23" t="e">
        <f>'6мес (от плана)'!D82+#REF!</f>
        <v>#REF!</v>
      </c>
      <c r="E82" s="37"/>
      <c r="F82" s="242">
        <f t="shared" si="3"/>
        <v>0</v>
      </c>
      <c r="G82" s="197"/>
      <c r="H82" s="197"/>
      <c r="I82" s="145" t="e">
        <f t="shared" si="4"/>
        <v>#REF!</v>
      </c>
      <c r="J82" s="9" t="e">
        <f t="shared" si="5"/>
        <v>#REF!</v>
      </c>
    </row>
    <row r="83" spans="1:10" s="28" customFormat="1" ht="22.5" customHeight="1">
      <c r="A83" s="52"/>
      <c r="B83" s="62" t="s">
        <v>66</v>
      </c>
      <c r="C83" s="22" t="s">
        <v>11</v>
      </c>
      <c r="D83" s="23" t="e">
        <f>'6мес (от плана)'!D83+#REF!</f>
        <v>#REF!</v>
      </c>
      <c r="E83" s="37"/>
      <c r="F83" s="242">
        <f t="shared" si="3"/>
        <v>27.779999999999998</v>
      </c>
      <c r="G83" s="197">
        <v>4.723</v>
      </c>
      <c r="H83" s="197">
        <v>23.057</v>
      </c>
      <c r="I83" s="145" t="e">
        <f t="shared" si="4"/>
        <v>#REF!</v>
      </c>
      <c r="J83" s="9" t="e">
        <f t="shared" si="5"/>
        <v>#REF!</v>
      </c>
    </row>
    <row r="84" spans="1:10" s="28" customFormat="1" ht="22.5" customHeight="1">
      <c r="A84" s="52"/>
      <c r="B84" s="62" t="s">
        <v>67</v>
      </c>
      <c r="C84" s="22" t="s">
        <v>11</v>
      </c>
      <c r="D84" s="23" t="e">
        <f>'6мес (от плана)'!D84+#REF!</f>
        <v>#REF!</v>
      </c>
      <c r="E84" s="37"/>
      <c r="F84" s="242">
        <f t="shared" si="3"/>
        <v>4.934</v>
      </c>
      <c r="G84" s="197">
        <v>4.934</v>
      </c>
      <c r="H84" s="197"/>
      <c r="I84" s="145" t="e">
        <f t="shared" si="4"/>
        <v>#REF!</v>
      </c>
      <c r="J84" s="9" t="e">
        <f t="shared" si="5"/>
        <v>#REF!</v>
      </c>
    </row>
    <row r="85" spans="1:10" s="28" customFormat="1" ht="22.5" customHeight="1">
      <c r="A85" s="52"/>
      <c r="B85" s="62" t="s">
        <v>133</v>
      </c>
      <c r="C85" s="22" t="s">
        <v>11</v>
      </c>
      <c r="D85" s="23" t="e">
        <f>'6мес (от плана)'!D85+#REF!</f>
        <v>#REF!</v>
      </c>
      <c r="E85" s="37"/>
      <c r="F85" s="242">
        <f t="shared" si="3"/>
        <v>0</v>
      </c>
      <c r="G85" s="197"/>
      <c r="H85" s="197"/>
      <c r="I85" s="145" t="e">
        <f t="shared" si="4"/>
        <v>#REF!</v>
      </c>
      <c r="J85" s="9" t="e">
        <f t="shared" si="5"/>
        <v>#REF!</v>
      </c>
    </row>
    <row r="86" spans="1:10" s="28" customFormat="1" ht="22.5" customHeight="1">
      <c r="A86" s="52"/>
      <c r="B86" s="62" t="s">
        <v>34</v>
      </c>
      <c r="C86" s="22" t="s">
        <v>11</v>
      </c>
      <c r="D86" s="23" t="e">
        <f>'6мес (от плана)'!D86+#REF!</f>
        <v>#REF!</v>
      </c>
      <c r="E86" s="37"/>
      <c r="F86" s="242">
        <f t="shared" si="3"/>
        <v>0</v>
      </c>
      <c r="G86" s="197"/>
      <c r="H86" s="197"/>
      <c r="I86" s="145" t="e">
        <f t="shared" si="4"/>
        <v>#REF!</v>
      </c>
      <c r="J86" s="9" t="e">
        <f t="shared" si="5"/>
        <v>#REF!</v>
      </c>
    </row>
    <row r="87" spans="1:10" s="28" customFormat="1" ht="22.5" customHeight="1">
      <c r="A87" s="52"/>
      <c r="B87" s="62" t="s">
        <v>68</v>
      </c>
      <c r="C87" s="22" t="s">
        <v>11</v>
      </c>
      <c r="D87" s="23" t="e">
        <f>'6мес (от плана)'!D87+#REF!</f>
        <v>#REF!</v>
      </c>
      <c r="E87" s="37"/>
      <c r="F87" s="242">
        <f t="shared" si="3"/>
        <v>0</v>
      </c>
      <c r="G87" s="197"/>
      <c r="H87" s="197"/>
      <c r="I87" s="145" t="e">
        <f t="shared" si="4"/>
        <v>#REF!</v>
      </c>
      <c r="J87" s="9" t="e">
        <f t="shared" si="5"/>
        <v>#REF!</v>
      </c>
    </row>
    <row r="88" spans="1:10" s="28" customFormat="1" ht="22.5" customHeight="1">
      <c r="A88" s="52"/>
      <c r="B88" s="62" t="s">
        <v>69</v>
      </c>
      <c r="C88" s="22" t="s">
        <v>11</v>
      </c>
      <c r="D88" s="23" t="e">
        <f>'6мес (от плана)'!D88+#REF!</f>
        <v>#REF!</v>
      </c>
      <c r="E88" s="37"/>
      <c r="F88" s="242">
        <f t="shared" si="3"/>
        <v>0</v>
      </c>
      <c r="G88" s="197"/>
      <c r="H88" s="197"/>
      <c r="I88" s="145" t="e">
        <f t="shared" si="4"/>
        <v>#REF!</v>
      </c>
      <c r="J88" s="9" t="e">
        <f t="shared" si="5"/>
        <v>#REF!</v>
      </c>
    </row>
    <row r="89" spans="1:10" s="28" customFormat="1" ht="22.5" customHeight="1">
      <c r="A89" s="52"/>
      <c r="B89" s="62" t="s">
        <v>144</v>
      </c>
      <c r="C89" s="22" t="s">
        <v>11</v>
      </c>
      <c r="D89" s="23" t="e">
        <f>'6мес (от плана)'!D89+#REF!</f>
        <v>#REF!</v>
      </c>
      <c r="E89" s="37"/>
      <c r="F89" s="242">
        <f t="shared" si="3"/>
        <v>0</v>
      </c>
      <c r="G89" s="197"/>
      <c r="H89" s="197"/>
      <c r="I89" s="145" t="e">
        <f t="shared" si="4"/>
        <v>#REF!</v>
      </c>
      <c r="J89" s="9" t="e">
        <f t="shared" si="5"/>
        <v>#REF!</v>
      </c>
    </row>
    <row r="90" spans="1:10" s="28" customFormat="1" ht="22.5" customHeight="1">
      <c r="A90" s="52"/>
      <c r="B90" s="62" t="s">
        <v>70</v>
      </c>
      <c r="C90" s="22" t="s">
        <v>11</v>
      </c>
      <c r="D90" s="23" t="e">
        <f>'6мес (от плана)'!D90+#REF!</f>
        <v>#REF!</v>
      </c>
      <c r="E90" s="37"/>
      <c r="F90" s="242">
        <f t="shared" si="3"/>
        <v>0</v>
      </c>
      <c r="G90" s="197"/>
      <c r="H90" s="197"/>
      <c r="I90" s="145" t="e">
        <f t="shared" si="4"/>
        <v>#REF!</v>
      </c>
      <c r="J90" s="9" t="e">
        <f t="shared" si="5"/>
        <v>#REF!</v>
      </c>
    </row>
    <row r="91" spans="1:10" s="28" customFormat="1" ht="22.5" customHeight="1">
      <c r="A91" s="52"/>
      <c r="B91" s="62" t="s">
        <v>71</v>
      </c>
      <c r="C91" s="22" t="s">
        <v>11</v>
      </c>
      <c r="D91" s="23" t="e">
        <f>'6мес (от плана)'!D91+#REF!</f>
        <v>#REF!</v>
      </c>
      <c r="E91" s="37"/>
      <c r="F91" s="242">
        <f t="shared" si="3"/>
        <v>0</v>
      </c>
      <c r="G91" s="197"/>
      <c r="H91" s="197"/>
      <c r="I91" s="145" t="e">
        <f t="shared" si="4"/>
        <v>#REF!</v>
      </c>
      <c r="J91" s="9" t="e">
        <f t="shared" si="5"/>
        <v>#REF!</v>
      </c>
    </row>
    <row r="92" spans="1:10" s="28" customFormat="1" ht="22.5" customHeight="1">
      <c r="A92" s="52"/>
      <c r="B92" s="62" t="s">
        <v>152</v>
      </c>
      <c r="C92" s="22" t="s">
        <v>11</v>
      </c>
      <c r="D92" s="23" t="e">
        <f>'6мес (от плана)'!D92+#REF!</f>
        <v>#REF!</v>
      </c>
      <c r="E92" s="37"/>
      <c r="F92" s="242">
        <f>G92+H92</f>
        <v>0</v>
      </c>
      <c r="G92" s="197"/>
      <c r="H92" s="197"/>
      <c r="I92" s="145" t="e">
        <f t="shared" si="4"/>
        <v>#REF!</v>
      </c>
      <c r="J92" s="9" t="e">
        <f t="shared" si="5"/>
        <v>#REF!</v>
      </c>
    </row>
    <row r="93" spans="1:10" s="28" customFormat="1" ht="22.5" customHeight="1">
      <c r="A93" s="52"/>
      <c r="B93" s="279" t="s">
        <v>154</v>
      </c>
      <c r="C93" s="22" t="s">
        <v>11</v>
      </c>
      <c r="D93" s="23" t="e">
        <f>'6мес (от плана)'!D93+#REF!</f>
        <v>#REF!</v>
      </c>
      <c r="E93" s="37"/>
      <c r="F93" s="242">
        <f>G93+H93</f>
        <v>0</v>
      </c>
      <c r="G93" s="197"/>
      <c r="H93" s="197"/>
      <c r="I93" s="145" t="e">
        <f t="shared" si="4"/>
        <v>#REF!</v>
      </c>
      <c r="J93" s="9" t="e">
        <f t="shared" si="5"/>
        <v>#REF!</v>
      </c>
    </row>
    <row r="94" spans="1:10" s="28" customFormat="1" ht="29.25" customHeight="1">
      <c r="A94" s="52"/>
      <c r="B94" s="279" t="s">
        <v>158</v>
      </c>
      <c r="C94" s="22" t="s">
        <v>11</v>
      </c>
      <c r="D94" s="23" t="e">
        <f>'6мес (от плана)'!D94+#REF!</f>
        <v>#REF!</v>
      </c>
      <c r="E94" s="37"/>
      <c r="F94" s="242">
        <f>G94+H94</f>
        <v>184.24585165999997</v>
      </c>
      <c r="G94" s="197">
        <f>(40.98963+28.564)*0.17+5.969+40.02+68.70322*0.17</f>
        <v>69.4926645</v>
      </c>
      <c r="H94" s="197">
        <f>(40.98963+28.564+68.703222)*0.83</f>
        <v>114.75318715999998</v>
      </c>
      <c r="I94" s="145" t="e">
        <f t="shared" si="4"/>
        <v>#REF!</v>
      </c>
      <c r="J94" s="9" t="e">
        <f t="shared" si="5"/>
        <v>#REF!</v>
      </c>
    </row>
    <row r="95" spans="1:10" s="28" customFormat="1" ht="22.5" customHeight="1">
      <c r="A95" s="52"/>
      <c r="B95" s="279" t="s">
        <v>40</v>
      </c>
      <c r="C95" s="22" t="s">
        <v>11</v>
      </c>
      <c r="D95" s="23" t="e">
        <f>'6мес (от плана)'!D95+#REF!</f>
        <v>#REF!</v>
      </c>
      <c r="E95" s="37"/>
      <c r="F95" s="242">
        <f>G95+H95</f>
        <v>0</v>
      </c>
      <c r="G95" s="197"/>
      <c r="H95" s="197"/>
      <c r="I95" s="145" t="e">
        <f t="shared" si="4"/>
        <v>#REF!</v>
      </c>
      <c r="J95" s="9" t="e">
        <f t="shared" si="5"/>
        <v>#REF!</v>
      </c>
    </row>
    <row r="96" spans="1:10" s="28" customFormat="1" ht="36" customHeight="1" thickBot="1">
      <c r="A96" s="52"/>
      <c r="B96" s="62" t="s">
        <v>72</v>
      </c>
      <c r="C96" s="22" t="s">
        <v>11</v>
      </c>
      <c r="D96" s="23" t="e">
        <f>'6мес (от плана)'!D96+#REF!</f>
        <v>#REF!</v>
      </c>
      <c r="E96" s="37"/>
      <c r="F96" s="242">
        <f t="shared" si="3"/>
        <v>0</v>
      </c>
      <c r="G96" s="197"/>
      <c r="H96" s="197"/>
      <c r="I96" s="145" t="e">
        <f t="shared" si="4"/>
        <v>#REF!</v>
      </c>
      <c r="J96" s="9" t="e">
        <f t="shared" si="5"/>
        <v>#REF!</v>
      </c>
    </row>
    <row r="97" spans="1:10" s="28" customFormat="1" ht="20.25" customHeight="1" thickBot="1">
      <c r="A97" s="39"/>
      <c r="B97" s="44" t="s">
        <v>73</v>
      </c>
      <c r="C97" s="200" t="s">
        <v>11</v>
      </c>
      <c r="D97" s="201" t="e">
        <f>D52+D51</f>
        <v>#REF!</v>
      </c>
      <c r="E97" s="201" t="e">
        <f>E52+E51</f>
        <v>#REF!</v>
      </c>
      <c r="F97" s="201">
        <f>F51+F52</f>
        <v>311128.92663166</v>
      </c>
      <c r="G97" s="201">
        <f>G51+G52</f>
        <v>48060.755017100004</v>
      </c>
      <c r="H97" s="201">
        <f>H51+H52</f>
        <v>263068.17161455995</v>
      </c>
      <c r="I97" s="201" t="e">
        <f t="shared" si="4"/>
        <v>#REF!</v>
      </c>
      <c r="J97" s="201" t="e">
        <f t="shared" si="5"/>
        <v>#REF!</v>
      </c>
    </row>
    <row r="98" spans="1:10" s="28" customFormat="1" ht="34.5" customHeight="1" thickBot="1">
      <c r="A98" s="63"/>
      <c r="B98" s="64" t="s">
        <v>74</v>
      </c>
      <c r="C98" s="65" t="s">
        <v>75</v>
      </c>
      <c r="D98" s="23" t="e">
        <f>'6мес (от плана)'!D98+#REF!</f>
        <v>#REF!</v>
      </c>
      <c r="E98" s="65" t="e">
        <f>#REF!+#REF!+#REF!+#REF!+#REF!+#REF!+#REF!</f>
        <v>#REF!</v>
      </c>
      <c r="F98" s="65"/>
      <c r="G98" s="197">
        <v>863.921</v>
      </c>
      <c r="H98" s="197">
        <v>501899.531</v>
      </c>
      <c r="I98" s="145" t="e">
        <f t="shared" si="4"/>
        <v>#REF!</v>
      </c>
      <c r="J98" s="9" t="e">
        <f t="shared" si="5"/>
        <v>#REF!</v>
      </c>
    </row>
    <row r="99" spans="1:10" s="28" customFormat="1" ht="27.75" customHeight="1" thickBot="1">
      <c r="A99" s="43"/>
      <c r="B99" s="44" t="s">
        <v>76</v>
      </c>
      <c r="C99" s="45"/>
      <c r="D99" s="66" t="e">
        <f>D97/D98</f>
        <v>#REF!</v>
      </c>
      <c r="E99" s="67" t="e">
        <f>E97/E98</f>
        <v>#REF!</v>
      </c>
      <c r="F99" s="45"/>
      <c r="G99" s="66">
        <f>G97/G98</f>
        <v>55.63096048955865</v>
      </c>
      <c r="H99" s="67">
        <f>H97/H98</f>
        <v>0.5241450835596815</v>
      </c>
      <c r="I99" s="67" t="e">
        <f t="shared" si="4"/>
        <v>#REF!</v>
      </c>
      <c r="J99" s="67" t="e">
        <f t="shared" si="5"/>
        <v>#REF!</v>
      </c>
    </row>
    <row r="100" spans="1:10" s="28" customFormat="1" ht="21.75" customHeight="1" thickBot="1">
      <c r="A100" s="68"/>
      <c r="B100" s="69" t="s">
        <v>77</v>
      </c>
      <c r="C100" s="70"/>
      <c r="D100" s="71" t="e">
        <f>SUM(D101:D107)</f>
        <v>#REF!</v>
      </c>
      <c r="E100" s="71">
        <f>SUM(E101:E107)</f>
        <v>0</v>
      </c>
      <c r="F100" s="71">
        <f>SUM(F101:F107)</f>
        <v>12457874.187</v>
      </c>
      <c r="G100" s="71">
        <f>SUM(G101:G107)</f>
        <v>4701092.773</v>
      </c>
      <c r="H100" s="71">
        <f>SUM(H101:H107)</f>
        <v>7756781.414000001</v>
      </c>
      <c r="I100" s="71" t="e">
        <f t="shared" si="4"/>
        <v>#REF!</v>
      </c>
      <c r="J100" s="71" t="e">
        <f t="shared" si="5"/>
        <v>#REF!</v>
      </c>
    </row>
    <row r="101" spans="1:10" s="28" customFormat="1" ht="16.5" customHeight="1">
      <c r="A101" s="72"/>
      <c r="B101" s="73" t="s">
        <v>78</v>
      </c>
      <c r="C101" s="73"/>
      <c r="D101" s="23" t="e">
        <f>'6мес (от плана)'!D101+#REF!</f>
        <v>#REF!</v>
      </c>
      <c r="E101" s="74"/>
      <c r="F101" s="75">
        <v>2233902.825</v>
      </c>
      <c r="G101" s="76">
        <f>F101</f>
        <v>2233902.825</v>
      </c>
      <c r="H101" s="76" t="s">
        <v>79</v>
      </c>
      <c r="I101" s="145" t="e">
        <f t="shared" si="4"/>
        <v>#REF!</v>
      </c>
      <c r="J101" s="9" t="e">
        <f t="shared" si="5"/>
        <v>#REF!</v>
      </c>
    </row>
    <row r="102" spans="1:10" s="28" customFormat="1" ht="16.5" customHeight="1">
      <c r="A102" s="77"/>
      <c r="B102" s="78" t="s">
        <v>80</v>
      </c>
      <c r="C102" s="78"/>
      <c r="D102" s="23" t="e">
        <f>'6мес (от плана)'!D102+#REF!</f>
        <v>#REF!</v>
      </c>
      <c r="E102" s="79"/>
      <c r="F102" s="75">
        <v>5303804.28</v>
      </c>
      <c r="G102" s="36" t="s">
        <v>79</v>
      </c>
      <c r="H102" s="36">
        <f>F102</f>
        <v>5303804.28</v>
      </c>
      <c r="I102" s="145" t="e">
        <f t="shared" si="4"/>
        <v>#VALUE!</v>
      </c>
      <c r="J102" s="9" t="e">
        <f t="shared" si="5"/>
        <v>#VALUE!</v>
      </c>
    </row>
    <row r="103" spans="1:10" s="28" customFormat="1" ht="16.5" customHeight="1">
      <c r="A103" s="50"/>
      <c r="B103" s="78" t="s">
        <v>82</v>
      </c>
      <c r="C103" s="78"/>
      <c r="D103" s="23" t="e">
        <f>'6мес (от плана)'!D103+#REF!</f>
        <v>#REF!</v>
      </c>
      <c r="E103" s="79"/>
      <c r="F103" s="75">
        <v>2467189.948</v>
      </c>
      <c r="G103" s="36">
        <f>F103</f>
        <v>2467189.948</v>
      </c>
      <c r="H103" s="36" t="s">
        <v>79</v>
      </c>
      <c r="I103" s="145" t="e">
        <f t="shared" si="4"/>
        <v>#REF!</v>
      </c>
      <c r="J103" s="9" t="e">
        <f t="shared" si="5"/>
        <v>#REF!</v>
      </c>
    </row>
    <row r="104" spans="1:10" s="28" customFormat="1" ht="16.5" customHeight="1">
      <c r="A104" s="50"/>
      <c r="B104" s="78" t="s">
        <v>84</v>
      </c>
      <c r="C104" s="78"/>
      <c r="D104" s="23" t="e">
        <f>'6мес (от плана)'!D104+#REF!</f>
        <v>#REF!</v>
      </c>
      <c r="E104" s="79"/>
      <c r="F104" s="75">
        <f>2257711.001+4370.907+247.986</f>
        <v>2262329.8940000003</v>
      </c>
      <c r="G104" s="36" t="s">
        <v>79</v>
      </c>
      <c r="H104" s="36">
        <f>F104</f>
        <v>2262329.8940000003</v>
      </c>
      <c r="I104" s="145" t="e">
        <f t="shared" si="4"/>
        <v>#VALUE!</v>
      </c>
      <c r="J104" s="9" t="e">
        <f t="shared" si="5"/>
        <v>#VALUE!</v>
      </c>
    </row>
    <row r="105" spans="1:10" s="28" customFormat="1" ht="16.5" customHeight="1">
      <c r="A105" s="50"/>
      <c r="B105" s="78" t="s">
        <v>86</v>
      </c>
      <c r="C105" s="78"/>
      <c r="D105" s="23" t="e">
        <f>'6мес (от плана)'!D105+#REF!</f>
        <v>#REF!</v>
      </c>
      <c r="E105" s="79"/>
      <c r="F105" s="75">
        <v>147483.88</v>
      </c>
      <c r="G105" s="36" t="s">
        <v>79</v>
      </c>
      <c r="H105" s="36">
        <f>F105</f>
        <v>147483.88</v>
      </c>
      <c r="I105" s="145" t="e">
        <f t="shared" si="4"/>
        <v>#VALUE!</v>
      </c>
      <c r="J105" s="9" t="e">
        <f t="shared" si="5"/>
        <v>#VALUE!</v>
      </c>
    </row>
    <row r="106" spans="1:10" s="28" customFormat="1" ht="16.5" customHeight="1">
      <c r="A106" s="84"/>
      <c r="B106" s="85" t="s">
        <v>88</v>
      </c>
      <c r="C106" s="85"/>
      <c r="D106" s="23" t="e">
        <f>'6мес (от плана)'!D106+#REF!</f>
        <v>#REF!</v>
      </c>
      <c r="E106" s="86"/>
      <c r="F106" s="75">
        <v>43163.36</v>
      </c>
      <c r="G106" s="87"/>
      <c r="H106" s="87">
        <f>F106</f>
        <v>43163.36</v>
      </c>
      <c r="I106" s="145" t="e">
        <f t="shared" si="4"/>
        <v>#REF!</v>
      </c>
      <c r="J106" s="9" t="e">
        <f t="shared" si="5"/>
        <v>#REF!</v>
      </c>
    </row>
    <row r="107" spans="1:10" s="28" customFormat="1" ht="16.5" customHeight="1" thickBot="1">
      <c r="A107" s="63"/>
      <c r="B107" s="278" t="s">
        <v>153</v>
      </c>
      <c r="C107" s="278"/>
      <c r="D107" s="23" t="e">
        <f>'6мес (от плана)'!D107+#REF!</f>
        <v>#REF!</v>
      </c>
      <c r="E107" s="86"/>
      <c r="F107" s="75"/>
      <c r="G107" s="87"/>
      <c r="H107" s="87">
        <f>F107</f>
        <v>0</v>
      </c>
      <c r="I107" s="145" t="e">
        <f t="shared" si="4"/>
        <v>#REF!</v>
      </c>
      <c r="J107" s="9" t="e">
        <f t="shared" si="5"/>
        <v>#REF!</v>
      </c>
    </row>
    <row r="108" spans="1:10" s="28" customFormat="1" ht="38.25" customHeight="1" thickBot="1">
      <c r="A108" s="43"/>
      <c r="B108" s="88" t="s">
        <v>90</v>
      </c>
      <c r="C108" s="88"/>
      <c r="D108" s="45" t="e">
        <f>D97+D100</f>
        <v>#REF!</v>
      </c>
      <c r="E108" s="45" t="e">
        <f>E97+E100</f>
        <v>#REF!</v>
      </c>
      <c r="F108" s="45">
        <f>F97+F100</f>
        <v>12769003.11363166</v>
      </c>
      <c r="G108" s="45">
        <f>G97+G100</f>
        <v>4749153.5280171</v>
      </c>
      <c r="H108" s="45">
        <f>H97+H100</f>
        <v>8019849.585614561</v>
      </c>
      <c r="I108" s="45" t="e">
        <f t="shared" si="4"/>
        <v>#REF!</v>
      </c>
      <c r="J108" s="45" t="e">
        <f t="shared" si="5"/>
        <v>#REF!</v>
      </c>
    </row>
    <row r="109" spans="1:10" s="28" customFormat="1" ht="33.75" customHeight="1" thickBot="1">
      <c r="A109" s="90"/>
      <c r="B109" s="91" t="s">
        <v>91</v>
      </c>
      <c r="C109" s="91"/>
      <c r="D109" s="92" t="e">
        <f>D108/D98</f>
        <v>#REF!</v>
      </c>
      <c r="E109" s="93" t="e">
        <f>E108/E98</f>
        <v>#REF!</v>
      </c>
      <c r="F109" s="94"/>
      <c r="G109" s="124">
        <f>G108/G98</f>
        <v>5497.208110483597</v>
      </c>
      <c r="H109" s="124">
        <f>H108/H98</f>
        <v>15.978993982392385</v>
      </c>
      <c r="I109" s="145" t="e">
        <f t="shared" si="4"/>
        <v>#REF!</v>
      </c>
      <c r="J109" s="9" t="e">
        <f t="shared" si="5"/>
        <v>#REF!</v>
      </c>
    </row>
    <row r="110" spans="1:10" s="28" customFormat="1" ht="18.75" customHeight="1">
      <c r="A110" s="96"/>
      <c r="B110" s="97"/>
      <c r="C110" s="97"/>
      <c r="D110" s="98"/>
      <c r="E110" s="99"/>
      <c r="F110" s="100"/>
      <c r="G110" s="101"/>
      <c r="H110" s="102"/>
      <c r="I110" s="101"/>
      <c r="J110" s="103"/>
    </row>
    <row r="111" spans="1:10" s="28" customFormat="1" ht="15" customHeight="1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</row>
    <row r="112" spans="7:8" ht="13.5">
      <c r="G112" s="105"/>
      <c r="H112" s="105"/>
    </row>
    <row r="113" spans="5:10" ht="13.5" outlineLevel="1">
      <c r="E113" s="104" t="s">
        <v>118</v>
      </c>
      <c r="F113" s="105">
        <f>G113+H113</f>
        <v>12769080.71818</v>
      </c>
      <c r="G113" s="106">
        <v>4749166.720516301</v>
      </c>
      <c r="H113" s="106">
        <v>8019913.997663699</v>
      </c>
      <c r="I113" s="107"/>
      <c r="J113" s="107"/>
    </row>
    <row r="114" spans="1:10" ht="18" customHeight="1" outlineLevel="1">
      <c r="A114" s="394"/>
      <c r="B114" s="394"/>
      <c r="D114" s="108"/>
      <c r="E114" s="108" t="s">
        <v>92</v>
      </c>
      <c r="F114" s="105">
        <f>G114+H114</f>
        <v>77.60713999999999</v>
      </c>
      <c r="G114" s="105">
        <v>13.1932138</v>
      </c>
      <c r="H114" s="105">
        <v>64.41392619999999</v>
      </c>
      <c r="I114" s="397" t="s">
        <v>119</v>
      </c>
      <c r="J114" s="397"/>
    </row>
    <row r="115" spans="7:8" ht="13.5" outlineLevel="1">
      <c r="G115" s="114"/>
      <c r="H115" s="114"/>
    </row>
    <row r="116" spans="3:8" ht="15" customHeight="1" outlineLevel="1">
      <c r="C116" s="110"/>
      <c r="D116" s="110"/>
      <c r="E116" s="110"/>
      <c r="F116" s="105"/>
      <c r="G116" s="105">
        <f>G113-G114</f>
        <v>4749153.527302501</v>
      </c>
      <c r="H116" s="105">
        <f>H113-H114</f>
        <v>8019849.583737499</v>
      </c>
    </row>
    <row r="117" spans="3:8" ht="13.5" outlineLevel="1">
      <c r="C117" s="110"/>
      <c r="D117" s="110"/>
      <c r="E117" s="110"/>
      <c r="F117" s="110"/>
      <c r="G117" s="251">
        <f>G108-G116</f>
        <v>0.0007145991548895836</v>
      </c>
      <c r="H117" s="251">
        <f>H108-H116</f>
        <v>0.0018770620226860046</v>
      </c>
    </row>
    <row r="118" spans="3:8" ht="13.5" outlineLevel="1">
      <c r="C118" s="110"/>
      <c r="D118" s="110"/>
      <c r="E118" s="110"/>
      <c r="F118" s="105"/>
      <c r="G118" s="105"/>
      <c r="H118" s="105"/>
    </row>
    <row r="119" spans="3:8" ht="13.5">
      <c r="C119" s="110"/>
      <c r="D119" s="110"/>
      <c r="E119" s="110"/>
      <c r="F119" s="110"/>
      <c r="G119" s="110"/>
      <c r="H119" s="110"/>
    </row>
    <row r="120" spans="1:10" ht="14.25" customHeight="1">
      <c r="A120" s="396" t="s">
        <v>156</v>
      </c>
      <c r="B120" s="396"/>
      <c r="C120" s="110"/>
      <c r="D120" s="110"/>
      <c r="E120" s="110"/>
      <c r="F120" s="203"/>
      <c r="G120" s="203"/>
      <c r="H120" s="203"/>
      <c r="I120" s="395" t="s">
        <v>122</v>
      </c>
      <c r="J120" s="395"/>
    </row>
    <row r="121" spans="1:10" ht="14.25" customHeight="1">
      <c r="A121" s="112"/>
      <c r="B121" s="112"/>
      <c r="F121" s="204"/>
      <c r="G121" s="204"/>
      <c r="H121" s="204"/>
      <c r="I121" s="397"/>
      <c r="J121" s="397"/>
    </row>
    <row r="122" spans="1:10" ht="18" customHeight="1">
      <c r="A122" s="396" t="s">
        <v>95</v>
      </c>
      <c r="B122" s="396"/>
      <c r="F122" s="204"/>
      <c r="G122" s="204"/>
      <c r="H122" s="204"/>
      <c r="I122" s="395" t="s">
        <v>155</v>
      </c>
      <c r="J122" s="395"/>
    </row>
    <row r="123" spans="1:10" ht="14.25" customHeight="1">
      <c r="A123" s="112"/>
      <c r="B123" s="112"/>
      <c r="I123" s="113"/>
      <c r="J123" s="113"/>
    </row>
    <row r="124" spans="1:10" ht="16.5" customHeight="1">
      <c r="A124" s="396" t="s">
        <v>96</v>
      </c>
      <c r="B124" s="396"/>
      <c r="I124" s="395" t="s">
        <v>150</v>
      </c>
      <c r="J124" s="395"/>
    </row>
    <row r="125" spans="4:8" ht="13.5" customHeight="1" hidden="1" outlineLevel="1">
      <c r="D125" s="114" t="s">
        <v>97</v>
      </c>
      <c r="F125" s="115">
        <f>G125+H125</f>
        <v>9697055.15523</v>
      </c>
      <c r="G125" s="115">
        <f>'[5]12 мес '!$E$80</f>
        <v>2848759.0347800003</v>
      </c>
      <c r="H125" s="115">
        <f>'[5]12 мес '!$F$78</f>
        <v>6848296.120449999</v>
      </c>
    </row>
    <row r="126" spans="4:8" ht="13.5" customHeight="1" hidden="1" outlineLevel="1">
      <c r="D126" s="104" t="s">
        <v>98</v>
      </c>
      <c r="F126" s="115">
        <f>G126+H126</f>
        <v>-3071947.9584016614</v>
      </c>
      <c r="G126" s="115">
        <f>G125-G108</f>
        <v>-1900394.4932370996</v>
      </c>
      <c r="H126" s="115">
        <f>H125-H108</f>
        <v>-1171553.4651645618</v>
      </c>
    </row>
    <row r="127" ht="13.5" customHeight="1" hidden="1" outlineLevel="1"/>
    <row r="128" spans="4:6" ht="27" customHeight="1" hidden="1" outlineLevel="1">
      <c r="D128" s="110" t="s">
        <v>99</v>
      </c>
      <c r="F128" s="115">
        <v>18808</v>
      </c>
    </row>
    <row r="129" ht="13.5" customHeight="1" hidden="1" outlineLevel="1"/>
    <row r="130" spans="4:6" ht="13.5" customHeight="1" hidden="1" outlineLevel="1">
      <c r="D130" s="104" t="s">
        <v>100</v>
      </c>
      <c r="F130" s="115">
        <f>F126+F128</f>
        <v>-3053139.9584016614</v>
      </c>
    </row>
    <row r="131" spans="4:6" ht="45.75" customHeight="1" hidden="1" outlineLevel="1">
      <c r="D131" s="110" t="s">
        <v>101</v>
      </c>
      <c r="F131" s="116">
        <v>239903</v>
      </c>
    </row>
    <row r="132" spans="4:10" ht="29.25" customHeight="1" hidden="1" outlineLevel="1">
      <c r="D132" s="104" t="s">
        <v>102</v>
      </c>
      <c r="F132" s="115">
        <f>F131-F130</f>
        <v>3293042.9584016614</v>
      </c>
      <c r="G132" s="398" t="s">
        <v>103</v>
      </c>
      <c r="H132" s="398"/>
      <c r="I132" s="398"/>
      <c r="J132" s="398"/>
    </row>
    <row r="133" ht="13.5" collapsed="1"/>
    <row r="136" ht="13.5">
      <c r="A136" s="117" t="s">
        <v>151</v>
      </c>
    </row>
    <row r="137" ht="13.5">
      <c r="A137" s="117" t="s">
        <v>104</v>
      </c>
    </row>
    <row r="143" spans="2:5" ht="13.5">
      <c r="B143" s="117"/>
      <c r="C143" s="117"/>
      <c r="D143" s="117"/>
      <c r="E143" s="117"/>
    </row>
    <row r="144" spans="2:5" ht="13.5">
      <c r="B144" s="117"/>
      <c r="C144" s="117"/>
      <c r="D144" s="117"/>
      <c r="E144" s="117"/>
    </row>
  </sheetData>
  <sheetProtection/>
  <mergeCells count="25">
    <mergeCell ref="A1:J1"/>
    <mergeCell ref="A2:J2"/>
    <mergeCell ref="A3:J3"/>
    <mergeCell ref="F4:H4"/>
    <mergeCell ref="I5:J5"/>
    <mergeCell ref="H5:H7"/>
    <mergeCell ref="A5:A7"/>
    <mergeCell ref="B5:B7"/>
    <mergeCell ref="C5:C7"/>
    <mergeCell ref="D5:D7"/>
    <mergeCell ref="G132:J132"/>
    <mergeCell ref="E5:E7"/>
    <mergeCell ref="F5:F7"/>
    <mergeCell ref="I6:I7"/>
    <mergeCell ref="J6:J7"/>
    <mergeCell ref="G5:G7"/>
    <mergeCell ref="A114:B114"/>
    <mergeCell ref="I124:J124"/>
    <mergeCell ref="A120:B120"/>
    <mergeCell ref="A122:B122"/>
    <mergeCell ref="I114:J114"/>
    <mergeCell ref="I121:J121"/>
    <mergeCell ref="A124:B124"/>
    <mergeCell ref="I120:J120"/>
    <mergeCell ref="I122:J122"/>
  </mergeCells>
  <printOptions horizontalCentered="1"/>
  <pageMargins left="0" right="0" top="0" bottom="0" header="0" footer="0"/>
  <pageSetup fitToHeight="2" fitToWidth="1" horizontalDpi="600" verticalDpi="600" orientation="portrait" paperSize="9" scale="6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45"/>
  <sheetViews>
    <sheetView view="pageBreakPreview" zoomScale="86" zoomScaleNormal="70" zoomScaleSheetLayoutView="86" zoomScalePageLayoutView="0" workbookViewId="0" topLeftCell="A1">
      <pane xSplit="2" ySplit="7" topLeftCell="C29" activePane="bottomRight" state="frozen"/>
      <selection pane="topLeft" activeCell="B90" sqref="B90"/>
      <selection pane="topRight" activeCell="B90" sqref="B90"/>
      <selection pane="bottomLeft" activeCell="B90" sqref="B90"/>
      <selection pane="bottomRight" activeCell="F47" sqref="F47"/>
    </sheetView>
  </sheetViews>
  <sheetFormatPr defaultColWidth="9.125" defaultRowHeight="12.75" outlineLevelRow="1" outlineLevelCol="1"/>
  <cols>
    <col min="1" max="1" width="5.875" style="104" customWidth="1"/>
    <col min="2" max="2" width="50.875" style="104" customWidth="1"/>
    <col min="3" max="3" width="10.625" style="104" customWidth="1"/>
    <col min="4" max="4" width="18.00390625" style="104" customWidth="1"/>
    <col min="5" max="5" width="17.50390625" style="104" hidden="1" customWidth="1" outlineLevel="1"/>
    <col min="6" max="6" width="17.50390625" style="104" customWidth="1" outlineLevel="1"/>
    <col min="7" max="7" width="17.50390625" style="268" customWidth="1"/>
    <col min="8" max="8" width="15.50390625" style="268" customWidth="1"/>
    <col min="9" max="9" width="16.50390625" style="268" customWidth="1" outlineLevel="1"/>
    <col min="10" max="10" width="13.50390625" style="104" customWidth="1"/>
    <col min="11" max="12" width="16.50390625" style="104" customWidth="1"/>
    <col min="13" max="13" width="11.125" style="104" customWidth="1"/>
    <col min="14" max="14" width="10.625" style="104" customWidth="1"/>
    <col min="15" max="15" width="9.125" style="104" customWidth="1"/>
    <col min="16" max="16" width="9.875" style="104" customWidth="1"/>
    <col min="17" max="17" width="8.375" style="104" customWidth="1"/>
    <col min="18" max="18" width="9.375" style="104" bestFit="1" customWidth="1"/>
    <col min="19" max="16384" width="9.125" style="104" customWidth="1"/>
  </cols>
  <sheetData>
    <row r="1" spans="1:12" s="1" customFormat="1" ht="23.25" customHeight="1">
      <c r="A1" s="409" t="s">
        <v>0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311"/>
    </row>
    <row r="2" spans="1:12" s="1" customFormat="1" ht="21.75" customHeight="1">
      <c r="A2" s="410" t="s">
        <v>225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312"/>
    </row>
    <row r="3" spans="1:12" s="1" customFormat="1" ht="21.75" customHeight="1">
      <c r="A3" s="410" t="s">
        <v>129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312"/>
    </row>
    <row r="4" spans="1:12" s="1" customFormat="1" ht="18" customHeight="1" thickBot="1">
      <c r="A4" s="2"/>
      <c r="B4" s="2"/>
      <c r="C4" s="2"/>
      <c r="D4" s="2"/>
      <c r="E4" s="2"/>
      <c r="F4" s="2"/>
      <c r="G4" s="423"/>
      <c r="H4" s="423"/>
      <c r="I4" s="423"/>
      <c r="J4" s="3"/>
      <c r="K4" s="3"/>
      <c r="L4" s="3"/>
    </row>
    <row r="5" spans="1:12" s="1" customFormat="1" ht="27" customHeight="1">
      <c r="A5" s="414" t="s">
        <v>2</v>
      </c>
      <c r="B5" s="417" t="s">
        <v>3</v>
      </c>
      <c r="C5" s="417" t="s">
        <v>4</v>
      </c>
      <c r="D5" s="399" t="s">
        <v>223</v>
      </c>
      <c r="E5" s="399" t="s">
        <v>128</v>
      </c>
      <c r="F5" s="323"/>
      <c r="G5" s="424" t="s">
        <v>224</v>
      </c>
      <c r="H5" s="420" t="s">
        <v>5</v>
      </c>
      <c r="I5" s="420" t="s">
        <v>6</v>
      </c>
      <c r="J5" s="412" t="s">
        <v>7</v>
      </c>
      <c r="K5" s="413"/>
      <c r="L5" s="341"/>
    </row>
    <row r="6" spans="1:12" s="1" customFormat="1" ht="23.25" customHeight="1">
      <c r="A6" s="415"/>
      <c r="B6" s="418"/>
      <c r="C6" s="418"/>
      <c r="D6" s="400"/>
      <c r="E6" s="400"/>
      <c r="F6" s="324"/>
      <c r="G6" s="425"/>
      <c r="H6" s="421"/>
      <c r="I6" s="421"/>
      <c r="J6" s="405" t="s">
        <v>8</v>
      </c>
      <c r="K6" s="407" t="s">
        <v>9</v>
      </c>
      <c r="L6" s="341"/>
    </row>
    <row r="7" spans="1:12" s="4" customFormat="1" ht="30" customHeight="1" thickBot="1">
      <c r="A7" s="416"/>
      <c r="B7" s="419"/>
      <c r="C7" s="419"/>
      <c r="D7" s="401"/>
      <c r="E7" s="401"/>
      <c r="F7" s="325">
        <v>2022</v>
      </c>
      <c r="G7" s="426"/>
      <c r="H7" s="422"/>
      <c r="I7" s="422"/>
      <c r="J7" s="406"/>
      <c r="K7" s="408"/>
      <c r="L7" s="341"/>
    </row>
    <row r="8" spans="1:12" s="4" customFormat="1" ht="24" customHeight="1" outlineLevel="1">
      <c r="A8" s="5"/>
      <c r="B8" s="6" t="s">
        <v>10</v>
      </c>
      <c r="C8" s="7" t="s">
        <v>11</v>
      </c>
      <c r="D8" s="8">
        <v>42334</v>
      </c>
      <c r="E8" s="8" t="e">
        <f>E51</f>
        <v>#REF!</v>
      </c>
      <c r="F8" s="8"/>
      <c r="G8" s="8">
        <f>G51</f>
        <v>362350.54276199004</v>
      </c>
      <c r="H8" s="8">
        <f>H51</f>
        <v>54583.23906199</v>
      </c>
      <c r="I8" s="8">
        <f>I51</f>
        <v>307767.3037</v>
      </c>
      <c r="J8" s="8">
        <f>H8-D8</f>
        <v>12249.239061990003</v>
      </c>
      <c r="K8" s="9">
        <f>H8/D8*100</f>
        <v>128.93475471722493</v>
      </c>
      <c r="L8" s="316"/>
    </row>
    <row r="9" spans="1:12" s="4" customFormat="1" ht="24" customHeight="1" outlineLevel="1">
      <c r="A9" s="10"/>
      <c r="B9" s="11" t="s">
        <v>12</v>
      </c>
      <c r="C9" s="7" t="s">
        <v>11</v>
      </c>
      <c r="D9" s="12">
        <v>42334</v>
      </c>
      <c r="E9" s="12" t="e">
        <f>E8</f>
        <v>#REF!</v>
      </c>
      <c r="F9" s="12"/>
      <c r="G9" s="12">
        <f>G8</f>
        <v>362350.54276199004</v>
      </c>
      <c r="H9" s="12">
        <f>H8</f>
        <v>54583.23906199</v>
      </c>
      <c r="I9" s="12">
        <f>I8</f>
        <v>307767.3037</v>
      </c>
      <c r="J9" s="8">
        <f aca="true" t="shared" si="0" ref="J9:J77">H9-D9</f>
        <v>12249.239061990003</v>
      </c>
      <c r="K9" s="9">
        <f aca="true" t="shared" si="1" ref="K9:K77">H9/D9*100</f>
        <v>128.93475471722493</v>
      </c>
      <c r="L9" s="316"/>
    </row>
    <row r="10" spans="1:12" s="4" customFormat="1" ht="13.5" customHeight="1" outlineLevel="1">
      <c r="A10" s="10"/>
      <c r="B10" s="13" t="s">
        <v>13</v>
      </c>
      <c r="C10" s="13"/>
      <c r="D10" s="13"/>
      <c r="E10" s="13"/>
      <c r="F10" s="13"/>
      <c r="G10" s="148"/>
      <c r="H10" s="148"/>
      <c r="I10" s="148"/>
      <c r="J10" s="8"/>
      <c r="K10" s="9"/>
      <c r="L10" s="316"/>
    </row>
    <row r="11" spans="1:14" s="365" customFormat="1" ht="21" customHeight="1">
      <c r="A11" s="347">
        <v>1</v>
      </c>
      <c r="B11" s="362" t="s">
        <v>14</v>
      </c>
      <c r="C11" s="363" t="s">
        <v>11</v>
      </c>
      <c r="D11" s="350">
        <v>30629</v>
      </c>
      <c r="E11" s="364" t="e">
        <f>#REF!+#REF!+#REF!+#REF!+#REF!+#REF!+#REF!+#REF!</f>
        <v>#REF!</v>
      </c>
      <c r="F11" s="350">
        <v>45794</v>
      </c>
      <c r="G11" s="352">
        <f>H11+I11</f>
        <v>248874.01426</v>
      </c>
      <c r="H11" s="353">
        <f>41620.20492-H69</f>
        <v>40796.75279</v>
      </c>
      <c r="I11" s="353">
        <f>212925.08676-I69</f>
        <v>208077.26147</v>
      </c>
      <c r="J11" s="354">
        <f t="shared" si="0"/>
        <v>10167.752789999999</v>
      </c>
      <c r="K11" s="355">
        <f t="shared" si="1"/>
        <v>133.1964895687094</v>
      </c>
      <c r="L11" s="356">
        <f>H11-F11</f>
        <v>-4997.247210000001</v>
      </c>
      <c r="M11" s="358">
        <f>H11/F11*100</f>
        <v>89.08755031226798</v>
      </c>
      <c r="N11" s="358"/>
    </row>
    <row r="12" spans="1:14" s="367" customFormat="1" ht="18" customHeight="1">
      <c r="A12" s="359">
        <v>2</v>
      </c>
      <c r="B12" s="366" t="s">
        <v>15</v>
      </c>
      <c r="C12" s="349" t="s">
        <v>11</v>
      </c>
      <c r="D12" s="350">
        <v>2585</v>
      </c>
      <c r="E12" s="351" t="e">
        <f>#REF!+#REF!+#REF!+#REF!+#REF!+#REF!+#REF!+#REF!</f>
        <v>#REF!</v>
      </c>
      <c r="F12" s="350">
        <v>3864.3</v>
      </c>
      <c r="G12" s="352">
        <f aca="true" t="shared" si="2" ref="G12:G45">H12+I12</f>
        <v>21480.12574</v>
      </c>
      <c r="H12" s="353">
        <f>2236.46581+1278.40485</f>
        <v>3514.87066</v>
      </c>
      <c r="I12" s="353">
        <f>11420.45773+6544.79735</f>
        <v>17965.25508</v>
      </c>
      <c r="J12" s="354">
        <f t="shared" si="0"/>
        <v>929.87066</v>
      </c>
      <c r="K12" s="355">
        <f t="shared" si="1"/>
        <v>135.9717856866538</v>
      </c>
      <c r="L12" s="356">
        <f aca="true" t="shared" si="3" ref="L12:L50">H12-F12</f>
        <v>-349.42934000000014</v>
      </c>
      <c r="M12" s="358">
        <f aca="true" t="shared" si="4" ref="M12:M50">H12/F12*100</f>
        <v>90.95749967652614</v>
      </c>
      <c r="N12" s="358"/>
    </row>
    <row r="13" spans="1:14" s="367" customFormat="1" ht="33.75" customHeight="1">
      <c r="A13" s="347">
        <v>3</v>
      </c>
      <c r="B13" s="368" t="s">
        <v>160</v>
      </c>
      <c r="C13" s="349"/>
      <c r="D13" s="350">
        <v>907</v>
      </c>
      <c r="E13" s="351"/>
      <c r="F13" s="350">
        <v>1356</v>
      </c>
      <c r="G13" s="352">
        <f t="shared" si="2"/>
        <v>7215.361440000001</v>
      </c>
      <c r="H13" s="353">
        <f>880.18866+1699.98875*0.17</f>
        <v>1169.1867475</v>
      </c>
      <c r="I13" s="353">
        <f>4635.18403+1699.98875*0.83</f>
        <v>6046.174692500001</v>
      </c>
      <c r="J13" s="354">
        <f>H13-D13</f>
        <v>262.1867474999999</v>
      </c>
      <c r="K13" s="355">
        <f>H13/D13*100</f>
        <v>128.90702839029768</v>
      </c>
      <c r="L13" s="356">
        <f t="shared" si="3"/>
        <v>-186.8132525000001</v>
      </c>
      <c r="M13" s="358">
        <f t="shared" si="4"/>
        <v>86.22321146755162</v>
      </c>
      <c r="N13" s="358"/>
    </row>
    <row r="14" spans="1:14" s="28" customFormat="1" ht="22.5" customHeight="1">
      <c r="A14" s="20">
        <v>4</v>
      </c>
      <c r="B14" s="25" t="s">
        <v>16</v>
      </c>
      <c r="C14" s="22" t="s">
        <v>11</v>
      </c>
      <c r="D14" s="326">
        <v>3038</v>
      </c>
      <c r="E14" s="23" t="e">
        <f>#REF!+#REF!+#REF!+#REF!+#REF!+#REF!+#REF!+#REF!</f>
        <v>#REF!</v>
      </c>
      <c r="F14" s="326">
        <v>4557</v>
      </c>
      <c r="G14" s="156">
        <f t="shared" si="2"/>
        <v>19783.04996</v>
      </c>
      <c r="H14" s="320">
        <v>3212.35959</v>
      </c>
      <c r="I14" s="320">
        <v>16570.69037</v>
      </c>
      <c r="J14" s="8">
        <f t="shared" si="0"/>
        <v>174.35959000000003</v>
      </c>
      <c r="K14" s="9">
        <f t="shared" si="1"/>
        <v>105.73928867676103</v>
      </c>
      <c r="L14" s="316">
        <f t="shared" si="3"/>
        <v>-1344.64041</v>
      </c>
      <c r="M14" s="18">
        <f t="shared" si="4"/>
        <v>70.4928591178407</v>
      </c>
      <c r="N14" s="18"/>
    </row>
    <row r="15" spans="1:14" s="357" customFormat="1" ht="22.5" customHeight="1">
      <c r="A15" s="347">
        <v>5</v>
      </c>
      <c r="B15" s="360" t="s">
        <v>17</v>
      </c>
      <c r="C15" s="349" t="s">
        <v>11</v>
      </c>
      <c r="D15" s="350">
        <v>246</v>
      </c>
      <c r="E15" s="351" t="e">
        <f>#REF!+#REF!+#REF!+#REF!+#REF!+#REF!+#REF!+#REF!</f>
        <v>#REF!</v>
      </c>
      <c r="F15" s="350">
        <v>369</v>
      </c>
      <c r="G15" s="352">
        <f t="shared" si="2"/>
        <v>2032.0749999999996</v>
      </c>
      <c r="H15" s="353">
        <f>1514.6395-H13</f>
        <v>345.4527525000001</v>
      </c>
      <c r="I15" s="353">
        <f>7732.79694-I13</f>
        <v>1686.6222474999995</v>
      </c>
      <c r="J15" s="354">
        <f>H15-D15</f>
        <v>99.45275250000009</v>
      </c>
      <c r="K15" s="355">
        <f t="shared" si="1"/>
        <v>140.42794817073175</v>
      </c>
      <c r="L15" s="356">
        <f t="shared" si="3"/>
        <v>-23.547247499999912</v>
      </c>
      <c r="M15" s="358">
        <f t="shared" si="4"/>
        <v>93.61863211382116</v>
      </c>
      <c r="N15" s="358"/>
    </row>
    <row r="16" spans="1:14" s="28" customFormat="1" ht="22.5" customHeight="1">
      <c r="A16" s="20">
        <v>6</v>
      </c>
      <c r="B16" s="30" t="s">
        <v>18</v>
      </c>
      <c r="C16" s="22" t="s">
        <v>11</v>
      </c>
      <c r="D16" s="326">
        <v>276</v>
      </c>
      <c r="E16" s="23" t="e">
        <f>#REF!+#REF!+#REF!+#REF!+#REF!+#REF!+#REF!+#REF!</f>
        <v>#REF!</v>
      </c>
      <c r="F16" s="326">
        <v>440</v>
      </c>
      <c r="G16" s="156">
        <f t="shared" si="2"/>
        <v>1716.64398</v>
      </c>
      <c r="H16" s="320">
        <v>312.92265</v>
      </c>
      <c r="I16" s="320">
        <v>1403.72133</v>
      </c>
      <c r="J16" s="8">
        <f t="shared" si="0"/>
        <v>36.922649999999976</v>
      </c>
      <c r="K16" s="9">
        <f t="shared" si="1"/>
        <v>113.37777173913042</v>
      </c>
      <c r="L16" s="316">
        <f t="shared" si="3"/>
        <v>-127.07735000000002</v>
      </c>
      <c r="M16" s="18">
        <f t="shared" si="4"/>
        <v>71.11878409090909</v>
      </c>
      <c r="N16" s="18"/>
    </row>
    <row r="17" spans="1:15" s="28" customFormat="1" ht="19.5" customHeight="1">
      <c r="A17" s="327">
        <v>7</v>
      </c>
      <c r="B17" s="328" t="s">
        <v>19</v>
      </c>
      <c r="C17" s="329" t="s">
        <v>11</v>
      </c>
      <c r="D17" s="330">
        <v>337</v>
      </c>
      <c r="E17" s="331" t="e">
        <f>#REF!+#REF!+#REF!+#REF!+#REF!+#REF!+#REF!+#REF!</f>
        <v>#REF!</v>
      </c>
      <c r="F17" s="330">
        <v>506</v>
      </c>
      <c r="G17" s="332">
        <f t="shared" si="2"/>
        <v>1796.9043422999998</v>
      </c>
      <c r="H17" s="333">
        <f>266.60914-H75</f>
        <v>213.76687230000002</v>
      </c>
      <c r="I17" s="333">
        <v>1583.13747</v>
      </c>
      <c r="J17" s="334">
        <f t="shared" si="0"/>
        <v>-123.23312769999998</v>
      </c>
      <c r="K17" s="335">
        <f t="shared" si="1"/>
        <v>63.43230632047479</v>
      </c>
      <c r="L17" s="316">
        <f t="shared" si="3"/>
        <v>-292.23312769999995</v>
      </c>
      <c r="M17" s="18">
        <f t="shared" si="4"/>
        <v>42.24641745059289</v>
      </c>
      <c r="N17" s="32"/>
      <c r="O17" s="33"/>
    </row>
    <row r="18" spans="1:15" s="28" customFormat="1" ht="19.5" customHeight="1" hidden="1" outlineLevel="1">
      <c r="A18" s="20">
        <v>8</v>
      </c>
      <c r="B18" s="25" t="s">
        <v>20</v>
      </c>
      <c r="C18" s="22" t="s">
        <v>11</v>
      </c>
      <c r="D18" s="326" t="e">
        <f>7мес!D18+#REF!</f>
        <v>#REF!</v>
      </c>
      <c r="E18" s="23" t="e">
        <f>#REF!+#REF!+#REF!+#REF!+#REF!+#REF!+#REF!+#REF!</f>
        <v>#REF!</v>
      </c>
      <c r="F18" s="326"/>
      <c r="G18" s="156">
        <f t="shared" si="2"/>
        <v>0</v>
      </c>
      <c r="H18" s="205"/>
      <c r="I18" s="205"/>
      <c r="J18" s="8" t="e">
        <f t="shared" si="0"/>
        <v>#REF!</v>
      </c>
      <c r="K18" s="9" t="e">
        <f t="shared" si="1"/>
        <v>#REF!</v>
      </c>
      <c r="L18" s="316">
        <f t="shared" si="3"/>
        <v>0</v>
      </c>
      <c r="M18" s="18" t="e">
        <f t="shared" si="4"/>
        <v>#DIV/0!</v>
      </c>
      <c r="N18" s="32"/>
      <c r="O18" s="33"/>
    </row>
    <row r="19" spans="1:14" s="357" customFormat="1" ht="18.75" customHeight="1" collapsed="1">
      <c r="A19" s="347">
        <v>8</v>
      </c>
      <c r="B19" s="348" t="s">
        <v>21</v>
      </c>
      <c r="C19" s="349" t="s">
        <v>11</v>
      </c>
      <c r="D19" s="350">
        <v>559</v>
      </c>
      <c r="E19" s="351" t="e">
        <f>#REF!+#REF!+#REF!+#REF!+#REF!+#REF!+#REF!+#REF!</f>
        <v>#REF!</v>
      </c>
      <c r="F19" s="350">
        <v>838</v>
      </c>
      <c r="G19" s="352">
        <f t="shared" si="2"/>
        <v>7349.7208</v>
      </c>
      <c r="H19" s="353">
        <v>1249.45254</v>
      </c>
      <c r="I19" s="353">
        <v>6100.26826</v>
      </c>
      <c r="J19" s="354">
        <f t="shared" si="0"/>
        <v>690.45254</v>
      </c>
      <c r="K19" s="355">
        <f t="shared" si="1"/>
        <v>223.51566010733453</v>
      </c>
      <c r="L19" s="356">
        <f t="shared" si="3"/>
        <v>411.45254</v>
      </c>
      <c r="M19" s="18">
        <f t="shared" si="4"/>
        <v>149.09934844868735</v>
      </c>
      <c r="N19" s="358"/>
    </row>
    <row r="20" spans="1:14" s="357" customFormat="1" ht="19.5" customHeight="1">
      <c r="A20" s="359">
        <v>9</v>
      </c>
      <c r="B20" s="348" t="s">
        <v>22</v>
      </c>
      <c r="C20" s="349" t="s">
        <v>11</v>
      </c>
      <c r="D20" s="350" t="e">
        <f>7мес!D20+#REF!</f>
        <v>#REF!</v>
      </c>
      <c r="E20" s="351" t="e">
        <f>#REF!+#REF!+#REF!+#REF!+#REF!+#REF!+#REF!+#REF!</f>
        <v>#REF!</v>
      </c>
      <c r="F20" s="350"/>
      <c r="G20" s="352">
        <f t="shared" si="2"/>
        <v>7756.75715</v>
      </c>
      <c r="H20" s="353"/>
      <c r="I20" s="353">
        <v>7756.75715</v>
      </c>
      <c r="J20" s="354" t="e">
        <f t="shared" si="0"/>
        <v>#REF!</v>
      </c>
      <c r="K20" s="355" t="e">
        <f t="shared" si="1"/>
        <v>#REF!</v>
      </c>
      <c r="L20" s="356">
        <f t="shared" si="3"/>
        <v>0</v>
      </c>
      <c r="M20" s="18"/>
      <c r="N20" s="358"/>
    </row>
    <row r="21" spans="1:14" s="28" customFormat="1" ht="22.5" customHeight="1">
      <c r="A21" s="15">
        <v>10</v>
      </c>
      <c r="B21" s="25" t="s">
        <v>142</v>
      </c>
      <c r="C21" s="22" t="s">
        <v>11</v>
      </c>
      <c r="D21" s="326" t="e">
        <f aca="true" t="shared" si="5" ref="D21:I21">SUM(D23:D50)</f>
        <v>#REF!</v>
      </c>
      <c r="E21" s="326" t="e">
        <f t="shared" si="5"/>
        <v>#REF!</v>
      </c>
      <c r="F21" s="326">
        <f t="shared" si="5"/>
        <v>5700</v>
      </c>
      <c r="G21" s="126">
        <f t="shared" si="5"/>
        <v>44345.890089689994</v>
      </c>
      <c r="H21" s="205">
        <f t="shared" si="5"/>
        <v>3768.47445969</v>
      </c>
      <c r="I21" s="205">
        <f t="shared" si="5"/>
        <v>40577.41563</v>
      </c>
      <c r="J21" s="8" t="e">
        <f t="shared" si="0"/>
        <v>#REF!</v>
      </c>
      <c r="K21" s="9" t="e">
        <f t="shared" si="1"/>
        <v>#REF!</v>
      </c>
      <c r="L21" s="316">
        <f t="shared" si="3"/>
        <v>-1931.52554031</v>
      </c>
      <c r="M21" s="18">
        <f t="shared" si="4"/>
        <v>66.11358701210527</v>
      </c>
      <c r="N21" s="18"/>
    </row>
    <row r="22" spans="1:14" s="28" customFormat="1" ht="15" customHeight="1">
      <c r="A22" s="20"/>
      <c r="B22" s="34" t="s">
        <v>13</v>
      </c>
      <c r="C22" s="22" t="s">
        <v>11</v>
      </c>
      <c r="D22" s="326"/>
      <c r="E22" s="35"/>
      <c r="F22" s="326"/>
      <c r="G22" s="156">
        <f t="shared" si="2"/>
        <v>0</v>
      </c>
      <c r="H22" s="205"/>
      <c r="I22" s="205"/>
      <c r="J22" s="8"/>
      <c r="K22" s="9"/>
      <c r="L22" s="316">
        <f t="shared" si="3"/>
        <v>0</v>
      </c>
      <c r="M22" s="18" t="e">
        <f t="shared" si="4"/>
        <v>#DIV/0!</v>
      </c>
      <c r="N22" s="18"/>
    </row>
    <row r="23" spans="1:14" s="28" customFormat="1" ht="18.75" customHeight="1">
      <c r="A23" s="336">
        <v>11</v>
      </c>
      <c r="B23" s="337" t="s">
        <v>24</v>
      </c>
      <c r="C23" s="329" t="s">
        <v>11</v>
      </c>
      <c r="D23" s="330">
        <v>176.667</v>
      </c>
      <c r="E23" s="338" t="e">
        <f>#REF!+#REF!+#REF!+#REF!+#REF!+#REF!+#REF!+#REF!</f>
        <v>#REF!</v>
      </c>
      <c r="F23" s="330">
        <v>265</v>
      </c>
      <c r="G23" s="332">
        <f t="shared" si="2"/>
        <v>5947.79952</v>
      </c>
      <c r="H23" s="333">
        <v>112.59098</v>
      </c>
      <c r="I23" s="333">
        <v>5835.20854</v>
      </c>
      <c r="J23" s="334">
        <f t="shared" si="0"/>
        <v>-64.07602</v>
      </c>
      <c r="K23" s="335">
        <f t="shared" si="1"/>
        <v>63.73062314976764</v>
      </c>
      <c r="L23" s="316">
        <f t="shared" si="3"/>
        <v>-152.40902</v>
      </c>
      <c r="M23" s="18">
        <f t="shared" si="4"/>
        <v>42.487162264150946</v>
      </c>
      <c r="N23" s="18"/>
    </row>
    <row r="24" spans="1:14" s="28" customFormat="1" ht="20.25" customHeight="1">
      <c r="A24" s="336">
        <v>12</v>
      </c>
      <c r="B24" s="337" t="s">
        <v>25</v>
      </c>
      <c r="C24" s="329" t="s">
        <v>11</v>
      </c>
      <c r="D24" s="330">
        <v>2</v>
      </c>
      <c r="E24" s="338" t="e">
        <f>#REF!+#REF!+#REF!+#REF!+#REF!+#REF!+#REF!+#REF!</f>
        <v>#REF!</v>
      </c>
      <c r="F24" s="330">
        <v>2</v>
      </c>
      <c r="G24" s="332">
        <f t="shared" si="2"/>
        <v>0</v>
      </c>
      <c r="H24" s="333"/>
      <c r="I24" s="333"/>
      <c r="J24" s="334">
        <f t="shared" si="0"/>
        <v>-2</v>
      </c>
      <c r="K24" s="335">
        <f t="shared" si="1"/>
        <v>0</v>
      </c>
      <c r="L24" s="316">
        <f t="shared" si="3"/>
        <v>-2</v>
      </c>
      <c r="M24" s="18">
        <f t="shared" si="4"/>
        <v>0</v>
      </c>
      <c r="N24" s="18"/>
    </row>
    <row r="25" spans="1:14" s="357" customFormat="1" ht="16.5" customHeight="1">
      <c r="A25" s="359">
        <v>13</v>
      </c>
      <c r="B25" s="360" t="s">
        <v>26</v>
      </c>
      <c r="C25" s="349" t="s">
        <v>11</v>
      </c>
      <c r="D25" s="350" t="e">
        <f>7мес!D25+#REF!</f>
        <v>#REF!</v>
      </c>
      <c r="E25" s="361" t="e">
        <f>#REF!+#REF!+#REF!+#REF!+#REF!+#REF!+#REF!+#REF!</f>
        <v>#REF!</v>
      </c>
      <c r="F25" s="350"/>
      <c r="G25" s="352">
        <f t="shared" si="2"/>
        <v>0</v>
      </c>
      <c r="H25" s="353"/>
      <c r="I25" s="353"/>
      <c r="J25" s="354" t="e">
        <f t="shared" si="0"/>
        <v>#REF!</v>
      </c>
      <c r="K25" s="355" t="e">
        <f t="shared" si="1"/>
        <v>#REF!</v>
      </c>
      <c r="L25" s="356">
        <f t="shared" si="3"/>
        <v>0</v>
      </c>
      <c r="M25" s="18" t="e">
        <f t="shared" si="4"/>
        <v>#DIV/0!</v>
      </c>
      <c r="N25" s="358"/>
    </row>
    <row r="26" spans="1:14" s="28" customFormat="1" ht="17.25" customHeight="1">
      <c r="A26" s="20">
        <v>14</v>
      </c>
      <c r="B26" s="30" t="s">
        <v>212</v>
      </c>
      <c r="C26" s="22" t="s">
        <v>11</v>
      </c>
      <c r="D26" s="326">
        <v>261.333</v>
      </c>
      <c r="E26" s="26" t="e">
        <f>#REF!+#REF!+#REF!+#REF!+#REF!+#REF!+#REF!+#REF!</f>
        <v>#REF!</v>
      </c>
      <c r="F26" s="326">
        <v>392</v>
      </c>
      <c r="G26" s="156">
        <f t="shared" si="2"/>
        <v>7055.52372</v>
      </c>
      <c r="H26" s="320">
        <v>233.8527</v>
      </c>
      <c r="I26" s="320">
        <v>6821.67102</v>
      </c>
      <c r="J26" s="8">
        <v>5</v>
      </c>
      <c r="K26" s="9">
        <f t="shared" si="1"/>
        <v>89.48456566908885</v>
      </c>
      <c r="L26" s="316">
        <f t="shared" si="3"/>
        <v>-158.1473</v>
      </c>
      <c r="M26" s="18">
        <f t="shared" si="4"/>
        <v>59.656301020408165</v>
      </c>
      <c r="N26" s="18"/>
    </row>
    <row r="27" spans="1:14" s="28" customFormat="1" ht="17.25" customHeight="1">
      <c r="A27" s="336">
        <v>15</v>
      </c>
      <c r="B27" s="337" t="s">
        <v>28</v>
      </c>
      <c r="C27" s="329" t="s">
        <v>11</v>
      </c>
      <c r="D27" s="330">
        <v>34</v>
      </c>
      <c r="E27" s="338" t="e">
        <f>#REF!+#REF!+#REF!+#REF!+#REF!+#REF!+#REF!+#REF!</f>
        <v>#REF!</v>
      </c>
      <c r="F27" s="330">
        <v>51</v>
      </c>
      <c r="G27" s="332">
        <f t="shared" si="2"/>
        <v>167.65234379999998</v>
      </c>
      <c r="H27" s="333">
        <f>28.93491-2.5530362</f>
        <v>26.381873799999997</v>
      </c>
      <c r="I27" s="333">
        <v>141.27047</v>
      </c>
      <c r="J27" s="334">
        <f t="shared" si="0"/>
        <v>-7.6181262000000025</v>
      </c>
      <c r="K27" s="335">
        <f t="shared" si="1"/>
        <v>77.59374647058823</v>
      </c>
      <c r="L27" s="316">
        <f t="shared" si="3"/>
        <v>-24.618126200000003</v>
      </c>
      <c r="M27" s="18">
        <f t="shared" si="4"/>
        <v>51.729164313725484</v>
      </c>
      <c r="N27" s="18"/>
    </row>
    <row r="28" spans="1:14" s="28" customFormat="1" ht="18" customHeight="1">
      <c r="A28" s="20">
        <v>16</v>
      </c>
      <c r="B28" s="30" t="s">
        <v>29</v>
      </c>
      <c r="C28" s="22" t="s">
        <v>11</v>
      </c>
      <c r="D28" s="326">
        <v>12.667</v>
      </c>
      <c r="E28" s="26" t="e">
        <f>#REF!+#REF!+#REF!+#REF!+#REF!+#REF!+#REF!+#REF!</f>
        <v>#REF!</v>
      </c>
      <c r="F28" s="326">
        <v>19</v>
      </c>
      <c r="G28" s="156">
        <f t="shared" si="2"/>
        <v>83.1276</v>
      </c>
      <c r="H28" s="320">
        <v>14.77758</v>
      </c>
      <c r="I28" s="320">
        <v>68.35002</v>
      </c>
      <c r="J28" s="8">
        <f t="shared" si="0"/>
        <v>2.1105800000000006</v>
      </c>
      <c r="K28" s="9">
        <f t="shared" si="1"/>
        <v>116.66203520959975</v>
      </c>
      <c r="L28" s="316">
        <f t="shared" si="3"/>
        <v>-4.22242</v>
      </c>
      <c r="M28" s="18">
        <f t="shared" si="4"/>
        <v>77.77673684210527</v>
      </c>
      <c r="N28" s="18"/>
    </row>
    <row r="29" spans="1:14" s="357" customFormat="1" ht="18" customHeight="1">
      <c r="A29" s="359">
        <v>17</v>
      </c>
      <c r="B29" s="360" t="s">
        <v>30</v>
      </c>
      <c r="C29" s="349" t="s">
        <v>11</v>
      </c>
      <c r="D29" s="350">
        <v>14.667</v>
      </c>
      <c r="E29" s="361" t="e">
        <f>#REF!+#REF!+#REF!+#REF!+#REF!+#REF!+#REF!+#REF!</f>
        <v>#REF!</v>
      </c>
      <c r="F29" s="350">
        <v>22</v>
      </c>
      <c r="G29" s="352">
        <f t="shared" si="2"/>
        <v>155.63497</v>
      </c>
      <c r="H29" s="353">
        <v>28.54775</v>
      </c>
      <c r="I29" s="353">
        <v>127.08722</v>
      </c>
      <c r="J29" s="354">
        <f t="shared" si="0"/>
        <v>13.88075</v>
      </c>
      <c r="K29" s="355">
        <f t="shared" si="1"/>
        <v>194.63932637894595</v>
      </c>
      <c r="L29" s="356">
        <f t="shared" si="3"/>
        <v>6.547750000000001</v>
      </c>
      <c r="M29" s="18">
        <f t="shared" si="4"/>
        <v>129.7625</v>
      </c>
      <c r="N29" s="358"/>
    </row>
    <row r="30" spans="1:14" s="28" customFormat="1" ht="18.75" customHeight="1">
      <c r="A30" s="336">
        <v>18</v>
      </c>
      <c r="B30" s="337" t="s">
        <v>31</v>
      </c>
      <c r="C30" s="329" t="s">
        <v>11</v>
      </c>
      <c r="D30" s="330">
        <v>272.667</v>
      </c>
      <c r="E30" s="338" t="e">
        <f>#REF!+#REF!+#REF!+#REF!+#REF!+#REF!+#REF!+#REF!</f>
        <v>#REF!</v>
      </c>
      <c r="F30" s="330">
        <v>409</v>
      </c>
      <c r="G30" s="332">
        <f t="shared" si="2"/>
        <v>2153.01896</v>
      </c>
      <c r="H30" s="333">
        <v>219.61255</v>
      </c>
      <c r="I30" s="333">
        <v>1933.40641</v>
      </c>
      <c r="J30" s="334">
        <f t="shared" si="0"/>
        <v>-53.054449999999974</v>
      </c>
      <c r="K30" s="335">
        <f t="shared" si="1"/>
        <v>80.54240153740643</v>
      </c>
      <c r="L30" s="316">
        <f t="shared" si="3"/>
        <v>-189.38745</v>
      </c>
      <c r="M30" s="18">
        <f t="shared" si="4"/>
        <v>53.69500000000001</v>
      </c>
      <c r="N30" s="18"/>
    </row>
    <row r="31" spans="1:14" s="28" customFormat="1" ht="20.25" customHeight="1">
      <c r="A31" s="20">
        <v>19</v>
      </c>
      <c r="B31" s="30" t="s">
        <v>32</v>
      </c>
      <c r="C31" s="22" t="s">
        <v>11</v>
      </c>
      <c r="D31" s="326">
        <v>640.667</v>
      </c>
      <c r="E31" s="26" t="e">
        <f>#REF!+#REF!+#REF!+#REF!+#REF!+#REF!+#REF!+#REF!</f>
        <v>#REF!</v>
      </c>
      <c r="F31" s="326">
        <v>961</v>
      </c>
      <c r="G31" s="156">
        <f t="shared" si="2"/>
        <v>4933.66759</v>
      </c>
      <c r="H31" s="320">
        <v>658.36772</v>
      </c>
      <c r="I31" s="320">
        <v>4275.29987</v>
      </c>
      <c r="J31" s="8">
        <f t="shared" si="0"/>
        <v>17.700719999999933</v>
      </c>
      <c r="K31" s="9">
        <f t="shared" si="1"/>
        <v>102.76285808384074</v>
      </c>
      <c r="L31" s="316">
        <f t="shared" si="3"/>
        <v>-302.63228000000004</v>
      </c>
      <c r="M31" s="18">
        <f t="shared" si="4"/>
        <v>68.50860770031217</v>
      </c>
      <c r="N31" s="18"/>
    </row>
    <row r="32" spans="1:16" s="28" customFormat="1" ht="26.25" customHeight="1">
      <c r="A32" s="336">
        <v>20</v>
      </c>
      <c r="B32" s="337" t="s">
        <v>33</v>
      </c>
      <c r="C32" s="329" t="s">
        <v>11</v>
      </c>
      <c r="D32" s="330">
        <v>96.667</v>
      </c>
      <c r="E32" s="338" t="e">
        <f>#REF!+#REF!+#REF!+#REF!+#REF!+#REF!+#REF!+#REF!</f>
        <v>#REF!</v>
      </c>
      <c r="F32" s="330">
        <v>145</v>
      </c>
      <c r="G32" s="332">
        <f t="shared" si="2"/>
        <v>191.62487000000002</v>
      </c>
      <c r="H32" s="333">
        <v>30.53412</v>
      </c>
      <c r="I32" s="333">
        <v>161.09075</v>
      </c>
      <c r="J32" s="334">
        <f t="shared" si="0"/>
        <v>-66.13288</v>
      </c>
      <c r="K32" s="335">
        <f t="shared" si="1"/>
        <v>31.58691176926976</v>
      </c>
      <c r="L32" s="316">
        <f t="shared" si="3"/>
        <v>-114.46588</v>
      </c>
      <c r="M32" s="18">
        <f t="shared" si="4"/>
        <v>21.05801379310345</v>
      </c>
      <c r="N32" s="18"/>
      <c r="P32" s="427"/>
    </row>
    <row r="33" spans="1:16" s="28" customFormat="1" ht="15.75" customHeight="1">
      <c r="A33" s="336">
        <v>21</v>
      </c>
      <c r="B33" s="337" t="s">
        <v>34</v>
      </c>
      <c r="C33" s="329" t="s">
        <v>11</v>
      </c>
      <c r="D33" s="330">
        <v>3.386</v>
      </c>
      <c r="E33" s="338" t="e">
        <f>#REF!+#REF!+#REF!+#REF!+#REF!+#REF!+#REF!+#REF!</f>
        <v>#REF!</v>
      </c>
      <c r="F33" s="330">
        <v>123</v>
      </c>
      <c r="G33" s="332">
        <f t="shared" si="2"/>
        <v>0</v>
      </c>
      <c r="H33" s="333"/>
      <c r="I33" s="333"/>
      <c r="J33" s="334">
        <f t="shared" si="0"/>
        <v>-3.386</v>
      </c>
      <c r="K33" s="335">
        <f t="shared" si="1"/>
        <v>0</v>
      </c>
      <c r="L33" s="316">
        <f t="shared" si="3"/>
        <v>-123</v>
      </c>
      <c r="M33" s="18">
        <f t="shared" si="4"/>
        <v>0</v>
      </c>
      <c r="N33" s="18"/>
      <c r="P33" s="427"/>
    </row>
    <row r="34" spans="1:16" s="28" customFormat="1" ht="15.75" customHeight="1">
      <c r="A34" s="336">
        <v>22</v>
      </c>
      <c r="B34" s="337" t="s">
        <v>35</v>
      </c>
      <c r="C34" s="329" t="s">
        <v>11</v>
      </c>
      <c r="D34" s="330">
        <v>159.333</v>
      </c>
      <c r="E34" s="338" t="e">
        <f>#REF!+#REF!+#REF!+#REF!+#REF!+#REF!+#REF!+#REF!</f>
        <v>#REF!</v>
      </c>
      <c r="F34" s="330">
        <v>239</v>
      </c>
      <c r="G34" s="332">
        <f t="shared" si="2"/>
        <v>536.31272</v>
      </c>
      <c r="H34" s="333">
        <f>49.81422+32.98272</f>
        <v>82.79694</v>
      </c>
      <c r="I34" s="333">
        <f>161.03328+292.4825</f>
        <v>453.51578</v>
      </c>
      <c r="J34" s="334">
        <f t="shared" si="0"/>
        <v>-76.53605999999999</v>
      </c>
      <c r="K34" s="335">
        <f t="shared" si="1"/>
        <v>51.96471540735441</v>
      </c>
      <c r="L34" s="316">
        <f t="shared" si="3"/>
        <v>-156.20306</v>
      </c>
      <c r="M34" s="18">
        <f t="shared" si="4"/>
        <v>34.64307112970712</v>
      </c>
      <c r="N34" s="18"/>
      <c r="P34" s="427"/>
    </row>
    <row r="35" spans="1:16" s="28" customFormat="1" ht="16.5" customHeight="1">
      <c r="A35" s="20">
        <v>23</v>
      </c>
      <c r="B35" s="30" t="s">
        <v>36</v>
      </c>
      <c r="C35" s="22" t="s">
        <v>11</v>
      </c>
      <c r="D35" s="326">
        <v>152.667</v>
      </c>
      <c r="E35" s="26" t="e">
        <f>#REF!+#REF!+#REF!+#REF!+#REF!+#REF!+#REF!+#REF!</f>
        <v>#REF!</v>
      </c>
      <c r="F35" s="326">
        <v>229</v>
      </c>
      <c r="G35" s="156">
        <f t="shared" si="2"/>
        <v>905.34402</v>
      </c>
      <c r="H35" s="320">
        <f>156.75356-H49</f>
        <v>153.91286</v>
      </c>
      <c r="I35" s="320">
        <f>765.32619-I49</f>
        <v>751.43116</v>
      </c>
      <c r="J35" s="8">
        <f t="shared" si="0"/>
        <v>1.2458599999999933</v>
      </c>
      <c r="K35" s="9">
        <f t="shared" si="1"/>
        <v>100.8160637203849</v>
      </c>
      <c r="L35" s="316">
        <f t="shared" si="3"/>
        <v>-75.08714</v>
      </c>
      <c r="M35" s="18">
        <f t="shared" si="4"/>
        <v>67.2108558951965</v>
      </c>
      <c r="N35" s="18"/>
      <c r="P35" s="427"/>
    </row>
    <row r="36" spans="1:16" s="28" customFormat="1" ht="25.5" customHeight="1">
      <c r="A36" s="336">
        <v>24</v>
      </c>
      <c r="B36" s="337" t="s">
        <v>37</v>
      </c>
      <c r="C36" s="329" t="s">
        <v>11</v>
      </c>
      <c r="D36" s="330">
        <v>71.333</v>
      </c>
      <c r="E36" s="338" t="e">
        <f>#REF!+#REF!+#REF!+#REF!+#REF!+#REF!+#REF!+#REF!</f>
        <v>#REF!</v>
      </c>
      <c r="F36" s="330">
        <v>107</v>
      </c>
      <c r="G36" s="332">
        <f t="shared" si="2"/>
        <v>109.98463999999997</v>
      </c>
      <c r="H36" s="333">
        <f>139.79365-H47-H48-4.5*0.17</f>
        <v>12.351356499999994</v>
      </c>
      <c r="I36" s="333">
        <f>719.85154-I47-I48-4.5*0.83</f>
        <v>97.63328349999998</v>
      </c>
      <c r="J36" s="334">
        <f t="shared" si="0"/>
        <v>-58.981643500000004</v>
      </c>
      <c r="K36" s="335">
        <f t="shared" si="1"/>
        <v>17.31506665918999</v>
      </c>
      <c r="L36" s="316">
        <f t="shared" si="3"/>
        <v>-94.6486435</v>
      </c>
      <c r="M36" s="18">
        <f t="shared" si="4"/>
        <v>11.543323831775695</v>
      </c>
      <c r="N36" s="18"/>
      <c r="P36" s="427"/>
    </row>
    <row r="37" spans="1:14" s="357" customFormat="1" ht="18" customHeight="1">
      <c r="A37" s="359">
        <v>25</v>
      </c>
      <c r="B37" s="360" t="s">
        <v>38</v>
      </c>
      <c r="C37" s="349" t="s">
        <v>11</v>
      </c>
      <c r="D37" s="350">
        <v>902</v>
      </c>
      <c r="E37" s="361" t="e">
        <f>#REF!+#REF!+#REF!+#REF!+#REF!+#REF!+#REF!+#REF!</f>
        <v>#REF!</v>
      </c>
      <c r="F37" s="350">
        <v>1353</v>
      </c>
      <c r="G37" s="352">
        <f t="shared" si="2"/>
        <v>7333.29078</v>
      </c>
      <c r="H37" s="353">
        <v>1335.20468</v>
      </c>
      <c r="I37" s="353">
        <v>5998.0861</v>
      </c>
      <c r="J37" s="354">
        <f t="shared" si="0"/>
        <v>433.20468000000005</v>
      </c>
      <c r="K37" s="355">
        <f t="shared" si="1"/>
        <v>148.02712638580934</v>
      </c>
      <c r="L37" s="356">
        <f t="shared" si="3"/>
        <v>-17.795319999999947</v>
      </c>
      <c r="M37" s="358">
        <f t="shared" si="4"/>
        <v>98.68475092387288</v>
      </c>
      <c r="N37" s="358"/>
    </row>
    <row r="38" spans="1:14" s="28" customFormat="1" ht="18.75" customHeight="1">
      <c r="A38" s="336">
        <v>26</v>
      </c>
      <c r="B38" s="337" t="s">
        <v>39</v>
      </c>
      <c r="C38" s="329" t="s">
        <v>11</v>
      </c>
      <c r="D38" s="330">
        <v>92</v>
      </c>
      <c r="E38" s="338" t="e">
        <f>#REF!+#REF!+#REF!+#REF!+#REF!+#REF!+#REF!+#REF!</f>
        <v>#REF!</v>
      </c>
      <c r="F38" s="330">
        <v>92</v>
      </c>
      <c r="G38" s="332">
        <f t="shared" si="2"/>
        <v>271</v>
      </c>
      <c r="H38" s="333">
        <v>46.07</v>
      </c>
      <c r="I38" s="333">
        <v>224.93</v>
      </c>
      <c r="J38" s="334">
        <f t="shared" si="0"/>
        <v>-45.93</v>
      </c>
      <c r="K38" s="335">
        <f t="shared" si="1"/>
        <v>50.076086956521735</v>
      </c>
      <c r="L38" s="316">
        <f t="shared" si="3"/>
        <v>-45.93</v>
      </c>
      <c r="M38" s="18">
        <f t="shared" si="4"/>
        <v>50.076086956521735</v>
      </c>
      <c r="N38" s="18"/>
    </row>
    <row r="39" spans="1:14" s="28" customFormat="1" ht="16.5" customHeight="1">
      <c r="A39" s="20">
        <v>27</v>
      </c>
      <c r="B39" s="30" t="s">
        <v>40</v>
      </c>
      <c r="C39" s="22" t="s">
        <v>11</v>
      </c>
      <c r="D39" s="326" t="e">
        <f>7мес!D39+#REF!</f>
        <v>#REF!</v>
      </c>
      <c r="E39" s="26" t="e">
        <f>#REF!+#REF!+#REF!+#REF!+#REF!+#REF!+#REF!+#REF!</f>
        <v>#REF!</v>
      </c>
      <c r="F39" s="326"/>
      <c r="G39" s="156">
        <f t="shared" si="2"/>
        <v>0</v>
      </c>
      <c r="H39" s="205"/>
      <c r="I39" s="205"/>
      <c r="J39" s="8" t="e">
        <f t="shared" si="0"/>
        <v>#REF!</v>
      </c>
      <c r="K39" s="9" t="e">
        <f t="shared" si="1"/>
        <v>#REF!</v>
      </c>
      <c r="L39" s="316">
        <f t="shared" si="3"/>
        <v>0</v>
      </c>
      <c r="M39" s="18" t="e">
        <f t="shared" si="4"/>
        <v>#DIV/0!</v>
      </c>
      <c r="N39" s="18"/>
    </row>
    <row r="40" spans="1:14" s="28" customFormat="1" ht="18" customHeight="1">
      <c r="A40" s="336">
        <v>28</v>
      </c>
      <c r="B40" s="337" t="s">
        <v>41</v>
      </c>
      <c r="C40" s="329" t="s">
        <v>11</v>
      </c>
      <c r="D40" s="330">
        <v>47.333</v>
      </c>
      <c r="E40" s="338" t="e">
        <f>#REF!+#REF!+#REF!+#REF!+#REF!+#REF!+#REF!+#REF!</f>
        <v>#REF!</v>
      </c>
      <c r="F40" s="330">
        <v>71</v>
      </c>
      <c r="G40" s="332">
        <f t="shared" si="2"/>
        <v>446.21832</v>
      </c>
      <c r="H40" s="333"/>
      <c r="I40" s="333">
        <v>446.21832</v>
      </c>
      <c r="J40" s="334">
        <f t="shared" si="0"/>
        <v>-47.333</v>
      </c>
      <c r="K40" s="335">
        <f t="shared" si="1"/>
        <v>0</v>
      </c>
      <c r="L40" s="316">
        <f t="shared" si="3"/>
        <v>-71</v>
      </c>
      <c r="M40" s="18">
        <f t="shared" si="4"/>
        <v>0</v>
      </c>
      <c r="N40" s="18"/>
    </row>
    <row r="41" spans="1:14" s="28" customFormat="1" ht="16.5" customHeight="1">
      <c r="A41" s="336">
        <v>29</v>
      </c>
      <c r="B41" s="328" t="s">
        <v>42</v>
      </c>
      <c r="C41" s="329" t="s">
        <v>11</v>
      </c>
      <c r="D41" s="330">
        <v>51</v>
      </c>
      <c r="E41" s="338" t="e">
        <f>#REF!+#REF!+#REF!+#REF!+#REF!+#REF!+#REF!+#REF!</f>
        <v>#REF!</v>
      </c>
      <c r="F41" s="330">
        <v>77</v>
      </c>
      <c r="G41" s="332">
        <f t="shared" si="2"/>
        <v>177</v>
      </c>
      <c r="H41" s="333">
        <v>8.84</v>
      </c>
      <c r="I41" s="333">
        <v>168.16</v>
      </c>
      <c r="J41" s="334">
        <f t="shared" si="0"/>
        <v>-42.16</v>
      </c>
      <c r="K41" s="335">
        <f t="shared" si="1"/>
        <v>17.333333333333336</v>
      </c>
      <c r="L41" s="316">
        <f t="shared" si="3"/>
        <v>-68.16</v>
      </c>
      <c r="M41" s="18">
        <f t="shared" si="4"/>
        <v>11.48051948051948</v>
      </c>
      <c r="N41" s="18"/>
    </row>
    <row r="42" spans="1:14" s="28" customFormat="1" ht="16.5" customHeight="1">
      <c r="A42" s="336">
        <v>30</v>
      </c>
      <c r="B42" s="337" t="s">
        <v>43</v>
      </c>
      <c r="C42" s="329" t="s">
        <v>11</v>
      </c>
      <c r="D42" s="330">
        <v>18</v>
      </c>
      <c r="E42" s="338" t="e">
        <f>#REF!+#REF!+#REF!+#REF!+#REF!+#REF!+#REF!+#REF!</f>
        <v>#REF!</v>
      </c>
      <c r="F42" s="330">
        <v>27</v>
      </c>
      <c r="G42" s="332">
        <f t="shared" si="2"/>
        <v>0</v>
      </c>
      <c r="H42" s="333"/>
      <c r="I42" s="333"/>
      <c r="J42" s="334">
        <f t="shared" si="0"/>
        <v>-18</v>
      </c>
      <c r="K42" s="335">
        <f t="shared" si="1"/>
        <v>0</v>
      </c>
      <c r="L42" s="316">
        <f t="shared" si="3"/>
        <v>-27</v>
      </c>
      <c r="M42" s="18">
        <f t="shared" si="4"/>
        <v>0</v>
      </c>
      <c r="N42" s="18"/>
    </row>
    <row r="43" spans="1:14" s="357" customFormat="1" ht="16.5" customHeight="1">
      <c r="A43" s="359">
        <v>31</v>
      </c>
      <c r="B43" s="360" t="s">
        <v>143</v>
      </c>
      <c r="C43" s="349" t="s">
        <v>11</v>
      </c>
      <c r="D43" s="350">
        <v>11.333</v>
      </c>
      <c r="E43" s="361" t="e">
        <f>#REF!+#REF!+#REF!+#REF!+#REF!+#REF!+#REF!+#REF!</f>
        <v>#REF!</v>
      </c>
      <c r="F43" s="350">
        <v>17</v>
      </c>
      <c r="G43" s="352">
        <f t="shared" si="2"/>
        <v>185.86582</v>
      </c>
      <c r="H43" s="353">
        <v>33.92866</v>
      </c>
      <c r="I43" s="353">
        <v>151.93716</v>
      </c>
      <c r="J43" s="354">
        <f t="shared" si="0"/>
        <v>22.595660000000002</v>
      </c>
      <c r="K43" s="355">
        <f t="shared" si="1"/>
        <v>299.37933468631434</v>
      </c>
      <c r="L43" s="356">
        <f t="shared" si="3"/>
        <v>16.92866</v>
      </c>
      <c r="M43" s="358">
        <f t="shared" si="4"/>
        <v>199.58035294117647</v>
      </c>
      <c r="N43" s="358"/>
    </row>
    <row r="44" spans="1:14" s="357" customFormat="1" ht="18" customHeight="1">
      <c r="A44" s="359">
        <v>32</v>
      </c>
      <c r="B44" s="360" t="s">
        <v>45</v>
      </c>
      <c r="C44" s="349" t="s">
        <v>11</v>
      </c>
      <c r="D44" s="350">
        <v>13.776</v>
      </c>
      <c r="E44" s="361" t="e">
        <f>#REF!+#REF!+#REF!+#REF!+#REF!+#REF!+#REF!+#REF!</f>
        <v>#REF!</v>
      </c>
      <c r="F44" s="350">
        <v>16</v>
      </c>
      <c r="G44" s="352">
        <f t="shared" si="2"/>
        <v>1199.44358</v>
      </c>
      <c r="H44" s="353">
        <v>203.90541</v>
      </c>
      <c r="I44" s="353">
        <v>995.53817</v>
      </c>
      <c r="J44" s="354">
        <f t="shared" si="0"/>
        <v>190.12940999999998</v>
      </c>
      <c r="K44" s="355">
        <f t="shared" si="1"/>
        <v>1480.1496080139373</v>
      </c>
      <c r="L44" s="356">
        <f t="shared" si="3"/>
        <v>187.90541</v>
      </c>
      <c r="M44" s="358">
        <f t="shared" si="4"/>
        <v>1274.4088124999998</v>
      </c>
      <c r="N44" s="358"/>
    </row>
    <row r="45" spans="1:14" s="28" customFormat="1" ht="18" customHeight="1">
      <c r="A45" s="336">
        <v>33</v>
      </c>
      <c r="B45" s="337" t="s">
        <v>46</v>
      </c>
      <c r="C45" s="329" t="s">
        <v>11</v>
      </c>
      <c r="D45" s="330">
        <v>426</v>
      </c>
      <c r="E45" s="338" t="e">
        <f>#REF!+#REF!+#REF!+#REF!+#REF!+#REF!+#REF!+#REF!</f>
        <v>#REF!</v>
      </c>
      <c r="F45" s="330">
        <v>639</v>
      </c>
      <c r="G45" s="332">
        <f t="shared" si="2"/>
        <v>11442.62535589</v>
      </c>
      <c r="H45" s="333">
        <f>1515.00982-H46-1615*0.17-32.051-6277.758083*0.17-2.36786+263.8608</f>
        <v>388.1752558899999</v>
      </c>
      <c r="I45" s="333">
        <f>7503.95507-I46+3621.3264</f>
        <v>11054.4501</v>
      </c>
      <c r="J45" s="334">
        <f t="shared" si="0"/>
        <v>-37.8247441100001</v>
      </c>
      <c r="K45" s="335">
        <f t="shared" si="1"/>
        <v>91.12095208685443</v>
      </c>
      <c r="L45" s="316">
        <f t="shared" si="3"/>
        <v>-250.8247441100001</v>
      </c>
      <c r="M45" s="18">
        <f t="shared" si="4"/>
        <v>60.7473013912363</v>
      </c>
      <c r="N45" s="18"/>
    </row>
    <row r="46" spans="1:14" s="28" customFormat="1" ht="18" customHeight="1">
      <c r="A46" s="336">
        <v>34</v>
      </c>
      <c r="B46" s="337" t="s">
        <v>196</v>
      </c>
      <c r="C46" s="329" t="s">
        <v>11</v>
      </c>
      <c r="D46" s="330">
        <v>48.667</v>
      </c>
      <c r="E46" s="338" t="e">
        <f>#REF!+#REF!+#REF!+#REF!+#REF!+#REF!+#REF!+#REF!</f>
        <v>#REF!</v>
      </c>
      <c r="F46" s="330">
        <v>73</v>
      </c>
      <c r="G46" s="332">
        <f>H46+I46</f>
        <v>85.339</v>
      </c>
      <c r="H46" s="333">
        <f>85.339*0.17</f>
        <v>14.50763</v>
      </c>
      <c r="I46" s="333">
        <f>85.339*0.83</f>
        <v>70.83136999999999</v>
      </c>
      <c r="J46" s="334">
        <f>H46-D46</f>
        <v>-34.15937</v>
      </c>
      <c r="K46" s="335">
        <f>H46/D46*100</f>
        <v>29.80999445209279</v>
      </c>
      <c r="L46" s="316">
        <f t="shared" si="3"/>
        <v>-58.49237</v>
      </c>
      <c r="M46" s="18">
        <f t="shared" si="4"/>
        <v>19.873465753424657</v>
      </c>
      <c r="N46" s="18"/>
    </row>
    <row r="47" spans="1:14" s="28" customFormat="1" ht="18" customHeight="1">
      <c r="A47" s="336">
        <v>35</v>
      </c>
      <c r="B47" s="337" t="s">
        <v>197</v>
      </c>
      <c r="C47" s="329" t="s">
        <v>11</v>
      </c>
      <c r="D47" s="330">
        <v>152.667</v>
      </c>
      <c r="E47" s="338" t="e">
        <f>#REF!+#REF!+#REF!+#REF!+#REF!+#REF!+#REF!+#REF!</f>
        <v>#REF!</v>
      </c>
      <c r="F47" s="330">
        <v>229</v>
      </c>
      <c r="G47" s="332">
        <f>H47+I47</f>
        <v>634.82869</v>
      </c>
      <c r="H47" s="333">
        <f>574.04119*0.17+60.7875*0.17</f>
        <v>107.92087730000001</v>
      </c>
      <c r="I47" s="333">
        <f>574.04119*0.83+60.7875*0.83</f>
        <v>526.9078127</v>
      </c>
      <c r="J47" s="334">
        <f>H47-D47</f>
        <v>-44.74612269999999</v>
      </c>
      <c r="K47" s="335">
        <f>H47/D47*100</f>
        <v>70.69037663673224</v>
      </c>
      <c r="L47" s="316">
        <f t="shared" si="3"/>
        <v>-121.07912269999999</v>
      </c>
      <c r="M47" s="18">
        <f t="shared" si="4"/>
        <v>47.12702065502184</v>
      </c>
      <c r="N47" s="18"/>
    </row>
    <row r="48" spans="1:14" s="28" customFormat="1" ht="18" customHeight="1">
      <c r="A48" s="336">
        <v>36</v>
      </c>
      <c r="B48" s="337" t="s">
        <v>198</v>
      </c>
      <c r="C48" s="329" t="s">
        <v>11</v>
      </c>
      <c r="D48" s="330">
        <v>58</v>
      </c>
      <c r="E48" s="338" t="e">
        <f>#REF!+#REF!+#REF!+#REF!+#REF!+#REF!+#REF!+#REF!</f>
        <v>#REF!</v>
      </c>
      <c r="F48" s="330">
        <v>87</v>
      </c>
      <c r="G48" s="332">
        <f>H48+I48</f>
        <v>110.33186</v>
      </c>
      <c r="H48" s="333">
        <f>110.33186*0.17</f>
        <v>18.756416200000004</v>
      </c>
      <c r="I48" s="333">
        <f>110.33186*0.83</f>
        <v>91.5754438</v>
      </c>
      <c r="J48" s="334">
        <f>H48-D48</f>
        <v>-39.243583799999996</v>
      </c>
      <c r="K48" s="335">
        <f>H48/D48*100</f>
        <v>32.33864862068966</v>
      </c>
      <c r="L48" s="316">
        <f t="shared" si="3"/>
        <v>-68.2435838</v>
      </c>
      <c r="M48" s="18">
        <f t="shared" si="4"/>
        <v>21.559099080459774</v>
      </c>
      <c r="N48" s="18"/>
    </row>
    <row r="49" spans="1:14" s="28" customFormat="1" ht="18" customHeight="1">
      <c r="A49" s="336">
        <v>37</v>
      </c>
      <c r="B49" s="337" t="s">
        <v>199</v>
      </c>
      <c r="C49" s="329" t="s">
        <v>11</v>
      </c>
      <c r="D49" s="330">
        <v>6</v>
      </c>
      <c r="E49" s="338" t="e">
        <f>#REF!+#REF!+#REF!+#REF!+#REF!+#REF!+#REF!+#REF!</f>
        <v>#REF!</v>
      </c>
      <c r="F49" s="330">
        <v>6</v>
      </c>
      <c r="G49" s="332">
        <f>H49+I49</f>
        <v>16.73573</v>
      </c>
      <c r="H49" s="333">
        <f>16.71*0.17</f>
        <v>2.8407000000000004</v>
      </c>
      <c r="I49" s="333">
        <f>16.741*0.83</f>
        <v>13.895029999999998</v>
      </c>
      <c r="J49" s="334">
        <f>H49-D49</f>
        <v>-3.1592999999999996</v>
      </c>
      <c r="K49" s="335">
        <f>H49/D49*100</f>
        <v>47.345000000000006</v>
      </c>
      <c r="L49" s="316">
        <f t="shared" si="3"/>
        <v>-3.1592999999999996</v>
      </c>
      <c r="M49" s="18">
        <f t="shared" si="4"/>
        <v>47.345000000000006</v>
      </c>
      <c r="N49" s="18"/>
    </row>
    <row r="50" spans="1:14" s="28" customFormat="1" ht="41.25" customHeight="1" thickBot="1">
      <c r="A50" s="20">
        <v>38</v>
      </c>
      <c r="B50" s="302" t="s">
        <v>200</v>
      </c>
      <c r="C50" s="22" t="s">
        <v>11</v>
      </c>
      <c r="D50" s="326">
        <v>32.667</v>
      </c>
      <c r="E50" s="26" t="e">
        <f>#REF!+#REF!+#REF!+#REF!+#REF!+#REF!+#REF!+#REF!</f>
        <v>#REF!</v>
      </c>
      <c r="F50" s="326">
        <v>49</v>
      </c>
      <c r="G50" s="156">
        <f>H50+I50</f>
        <v>203.52</v>
      </c>
      <c r="H50" s="320">
        <v>34.5984</v>
      </c>
      <c r="I50" s="320">
        <v>168.9216</v>
      </c>
      <c r="J50" s="8">
        <f>H50-D50</f>
        <v>1.9313999999999965</v>
      </c>
      <c r="K50" s="9">
        <f>H50/D50*100</f>
        <v>105.9123886490954</v>
      </c>
      <c r="L50" s="316">
        <f t="shared" si="3"/>
        <v>-14.401600000000002</v>
      </c>
      <c r="M50" s="18">
        <f t="shared" si="4"/>
        <v>70.60897959183673</v>
      </c>
      <c r="N50" s="18"/>
    </row>
    <row r="51" spans="1:14" s="28" customFormat="1" ht="24.75" customHeight="1" thickBot="1">
      <c r="A51" s="39"/>
      <c r="B51" s="40" t="s">
        <v>47</v>
      </c>
      <c r="C51" s="41" t="s">
        <v>11</v>
      </c>
      <c r="D51" s="202" t="e">
        <f>SUM(D11:D21)</f>
        <v>#REF!</v>
      </c>
      <c r="E51" s="202" t="e">
        <f>SUM(E11:E21)</f>
        <v>#REF!</v>
      </c>
      <c r="F51" s="202">
        <f>SUM(F11:F21)</f>
        <v>63424.3</v>
      </c>
      <c r="G51" s="42">
        <f>G11+G12+G13+G14+G15+G16+G17+G19+G21+G20</f>
        <v>362350.54276199004</v>
      </c>
      <c r="H51" s="42">
        <f>H11+H12+H13+H14+H15+H16+H17+H19+H21+H20</f>
        <v>54583.23906199</v>
      </c>
      <c r="I51" s="42">
        <f>I11+I12+I13+I14+I15+I16+I17+I19+I21+I20</f>
        <v>307767.3037</v>
      </c>
      <c r="J51" s="42" t="e">
        <f t="shared" si="0"/>
        <v>#REF!</v>
      </c>
      <c r="K51" s="42" t="e">
        <f t="shared" si="1"/>
        <v>#REF!</v>
      </c>
      <c r="L51" s="342"/>
      <c r="N51" s="18"/>
    </row>
    <row r="52" spans="1:14" s="28" customFormat="1" ht="22.5" customHeight="1" thickBot="1">
      <c r="A52" s="43"/>
      <c r="B52" s="44" t="s">
        <v>48</v>
      </c>
      <c r="C52" s="41" t="s">
        <v>11</v>
      </c>
      <c r="D52" s="144" t="e">
        <f>SUM(D53:D69)+SUM(D75:D96)</f>
        <v>#REF!</v>
      </c>
      <c r="E52" s="45" t="e">
        <f>SUM(E53:E69)+SUM(E75:E84)</f>
        <v>#REF!</v>
      </c>
      <c r="F52" s="45"/>
      <c r="G52" s="45">
        <f>SUM(G53:G69)+SUM(G75:G96)</f>
        <v>15249.24387801</v>
      </c>
      <c r="H52" s="45">
        <f>SUM(H53:H69)+SUM(H75:H96)</f>
        <v>2513.33851371</v>
      </c>
      <c r="I52" s="45">
        <f>SUM(I53:I69)+SUM(I75:I96)</f>
        <v>12735.9053643</v>
      </c>
      <c r="J52" s="45" t="e">
        <f t="shared" si="0"/>
        <v>#REF!</v>
      </c>
      <c r="K52" s="45" t="e">
        <f t="shared" si="1"/>
        <v>#REF!</v>
      </c>
      <c r="L52" s="343"/>
      <c r="N52" s="18"/>
    </row>
    <row r="53" spans="1:14" s="28" customFormat="1" ht="18" customHeight="1">
      <c r="A53" s="46"/>
      <c r="B53" s="47" t="s">
        <v>49</v>
      </c>
      <c r="C53" s="48" t="s">
        <v>11</v>
      </c>
      <c r="D53" s="17" t="e">
        <f>7мес!D53+#REF!</f>
        <v>#REF!</v>
      </c>
      <c r="E53" s="49" t="e">
        <f>#REF!+#REF!+#REF!+#REF!+#REF!+#REF!+#REF!+#REF!</f>
        <v>#REF!</v>
      </c>
      <c r="F53" s="49"/>
      <c r="G53" s="156">
        <f>H53+I53</f>
        <v>0</v>
      </c>
      <c r="H53" s="126"/>
      <c r="I53" s="126"/>
      <c r="J53" s="8" t="e">
        <f t="shared" si="0"/>
        <v>#REF!</v>
      </c>
      <c r="K53" s="9" t="e">
        <f t="shared" si="1"/>
        <v>#REF!</v>
      </c>
      <c r="L53" s="316"/>
      <c r="N53" s="18"/>
    </row>
    <row r="54" spans="1:14" s="28" customFormat="1" ht="36" customHeight="1">
      <c r="A54" s="46"/>
      <c r="B54" s="120" t="s">
        <v>126</v>
      </c>
      <c r="C54" s="22" t="s">
        <v>11</v>
      </c>
      <c r="D54" s="17" t="e">
        <f>7мес!D54+#REF!</f>
        <v>#REF!</v>
      </c>
      <c r="E54" s="26"/>
      <c r="F54" s="123"/>
      <c r="G54" s="156">
        <f aca="true" t="shared" si="6" ref="G54:G91">H54+I54</f>
        <v>0</v>
      </c>
      <c r="H54" s="126"/>
      <c r="I54" s="126"/>
      <c r="J54" s="8" t="e">
        <f t="shared" si="0"/>
        <v>#REF!</v>
      </c>
      <c r="K54" s="9" t="e">
        <f t="shared" si="1"/>
        <v>#REF!</v>
      </c>
      <c r="L54" s="316"/>
      <c r="N54" s="18"/>
    </row>
    <row r="55" spans="1:14" s="28" customFormat="1" ht="18" customHeight="1">
      <c r="A55" s="46"/>
      <c r="B55" s="30" t="s">
        <v>43</v>
      </c>
      <c r="C55" s="22" t="s">
        <v>11</v>
      </c>
      <c r="D55" s="17" t="e">
        <f>7мес!D55+#REF!</f>
        <v>#REF!</v>
      </c>
      <c r="E55" s="26"/>
      <c r="F55" s="123"/>
      <c r="G55" s="156">
        <f t="shared" si="6"/>
        <v>0</v>
      </c>
      <c r="H55" s="126"/>
      <c r="I55" s="126"/>
      <c r="J55" s="8" t="e">
        <f t="shared" si="0"/>
        <v>#REF!</v>
      </c>
      <c r="K55" s="9" t="e">
        <f t="shared" si="1"/>
        <v>#REF!</v>
      </c>
      <c r="L55" s="316"/>
      <c r="N55" s="18"/>
    </row>
    <row r="56" spans="1:14" s="28" customFormat="1" ht="18" customHeight="1">
      <c r="A56" s="46"/>
      <c r="B56" s="30" t="s">
        <v>44</v>
      </c>
      <c r="C56" s="22" t="s">
        <v>11</v>
      </c>
      <c r="D56" s="17" t="e">
        <f>7мес!D56+#REF!</f>
        <v>#REF!</v>
      </c>
      <c r="E56" s="26"/>
      <c r="F56" s="123"/>
      <c r="G56" s="156">
        <f t="shared" si="6"/>
        <v>0</v>
      </c>
      <c r="H56" s="126"/>
      <c r="I56" s="126"/>
      <c r="J56" s="8" t="e">
        <f t="shared" si="0"/>
        <v>#REF!</v>
      </c>
      <c r="K56" s="9" t="e">
        <f t="shared" si="1"/>
        <v>#REF!</v>
      </c>
      <c r="L56" s="316"/>
      <c r="N56" s="18"/>
    </row>
    <row r="57" spans="1:14" s="28" customFormat="1" ht="35.25" customHeight="1">
      <c r="A57" s="50"/>
      <c r="B57" s="51" t="s">
        <v>50</v>
      </c>
      <c r="C57" s="22" t="s">
        <v>11</v>
      </c>
      <c r="D57" s="17" t="e">
        <f>7мес!D57+#REF!</f>
        <v>#REF!</v>
      </c>
      <c r="E57" s="26"/>
      <c r="F57" s="123"/>
      <c r="G57" s="156">
        <f t="shared" si="6"/>
        <v>0</v>
      </c>
      <c r="H57" s="126"/>
      <c r="I57" s="126"/>
      <c r="J57" s="8" t="e">
        <f t="shared" si="0"/>
        <v>#REF!</v>
      </c>
      <c r="K57" s="9" t="e">
        <f t="shared" si="1"/>
        <v>#REF!</v>
      </c>
      <c r="L57" s="316"/>
      <c r="N57" s="18"/>
    </row>
    <row r="58" spans="1:14" s="28" customFormat="1" ht="16.5" customHeight="1">
      <c r="A58" s="20"/>
      <c r="B58" s="25" t="s">
        <v>51</v>
      </c>
      <c r="C58" s="22" t="s">
        <v>11</v>
      </c>
      <c r="D58" s="17" t="e">
        <f>7мес!D58+#REF!</f>
        <v>#REF!</v>
      </c>
      <c r="E58" s="31"/>
      <c r="F58" s="339"/>
      <c r="G58" s="156">
        <f t="shared" si="6"/>
        <v>0</v>
      </c>
      <c r="H58" s="126"/>
      <c r="I58" s="126"/>
      <c r="J58" s="8" t="e">
        <f t="shared" si="0"/>
        <v>#REF!</v>
      </c>
      <c r="K58" s="9" t="e">
        <f t="shared" si="1"/>
        <v>#REF!</v>
      </c>
      <c r="L58" s="316"/>
      <c r="N58" s="18"/>
    </row>
    <row r="59" spans="1:14" s="28" customFormat="1" ht="18" customHeight="1">
      <c r="A59" s="52"/>
      <c r="B59" s="25" t="s">
        <v>52</v>
      </c>
      <c r="C59" s="22" t="s">
        <v>11</v>
      </c>
      <c r="D59" s="17" t="e">
        <f>7мес!D59+#REF!</f>
        <v>#REF!</v>
      </c>
      <c r="E59" s="37"/>
      <c r="F59" s="340"/>
      <c r="G59" s="156">
        <f t="shared" si="6"/>
        <v>0</v>
      </c>
      <c r="H59" s="126"/>
      <c r="I59" s="126"/>
      <c r="J59" s="8" t="e">
        <f t="shared" si="0"/>
        <v>#REF!</v>
      </c>
      <c r="K59" s="9" t="e">
        <f t="shared" si="1"/>
        <v>#REF!</v>
      </c>
      <c r="L59" s="316"/>
      <c r="N59" s="18"/>
    </row>
    <row r="60" spans="1:14" s="28" customFormat="1" ht="18" customHeight="1">
      <c r="A60" s="52"/>
      <c r="B60" s="25" t="s">
        <v>53</v>
      </c>
      <c r="C60" s="22" t="s">
        <v>11</v>
      </c>
      <c r="D60" s="17" t="e">
        <f>7мес!D60+#REF!</f>
        <v>#REF!</v>
      </c>
      <c r="E60" s="37"/>
      <c r="F60" s="340"/>
      <c r="G60" s="156">
        <f t="shared" si="6"/>
        <v>0</v>
      </c>
      <c r="H60" s="126"/>
      <c r="I60" s="126"/>
      <c r="J60" s="8" t="e">
        <f t="shared" si="0"/>
        <v>#REF!</v>
      </c>
      <c r="K60" s="9" t="e">
        <f t="shared" si="1"/>
        <v>#REF!</v>
      </c>
      <c r="L60" s="316"/>
      <c r="N60" s="18"/>
    </row>
    <row r="61" spans="1:14" s="28" customFormat="1" ht="18" customHeight="1">
      <c r="A61" s="52"/>
      <c r="B61" s="25" t="s">
        <v>46</v>
      </c>
      <c r="C61" s="22" t="s">
        <v>11</v>
      </c>
      <c r="D61" s="17" t="e">
        <f>7мес!D61+#REF!</f>
        <v>#REF!</v>
      </c>
      <c r="E61" s="37"/>
      <c r="F61" s="340"/>
      <c r="G61" s="156">
        <f t="shared" si="6"/>
        <v>1433.14077031</v>
      </c>
      <c r="H61" s="320">
        <f>54.4+1615*0.17+32.051+6277.758083*0.17+2.36786+2.5530362</f>
        <v>1433.14077031</v>
      </c>
      <c r="I61" s="205"/>
      <c r="J61" s="8" t="e">
        <f t="shared" si="0"/>
        <v>#REF!</v>
      </c>
      <c r="K61" s="9" t="e">
        <f t="shared" si="1"/>
        <v>#REF!</v>
      </c>
      <c r="L61" s="316"/>
      <c r="N61" s="322"/>
    </row>
    <row r="62" spans="1:14" s="28" customFormat="1" ht="16.5" customHeight="1">
      <c r="A62" s="50"/>
      <c r="B62" s="30" t="s">
        <v>124</v>
      </c>
      <c r="C62" s="22" t="s">
        <v>11</v>
      </c>
      <c r="D62" s="17" t="e">
        <f>7мес!D62+#REF!</f>
        <v>#REF!</v>
      </c>
      <c r="E62" s="26"/>
      <c r="F62" s="123"/>
      <c r="G62" s="156">
        <f t="shared" si="6"/>
        <v>0</v>
      </c>
      <c r="H62" s="126"/>
      <c r="I62" s="126"/>
      <c r="J62" s="8" t="e">
        <f t="shared" si="0"/>
        <v>#REF!</v>
      </c>
      <c r="K62" s="9" t="e">
        <f t="shared" si="1"/>
        <v>#REF!</v>
      </c>
      <c r="L62" s="316"/>
      <c r="N62" s="18"/>
    </row>
    <row r="63" spans="1:14" s="28" customFormat="1" ht="16.5" customHeight="1">
      <c r="A63" s="50"/>
      <c r="B63" s="30" t="s">
        <v>54</v>
      </c>
      <c r="C63" s="22" t="s">
        <v>11</v>
      </c>
      <c r="D63" s="17" t="e">
        <f>7мес!D63+#REF!</f>
        <v>#REF!</v>
      </c>
      <c r="E63" s="26"/>
      <c r="F63" s="123"/>
      <c r="G63" s="156">
        <f t="shared" si="6"/>
        <v>0</v>
      </c>
      <c r="H63" s="126"/>
      <c r="I63" s="126"/>
      <c r="J63" s="8" t="e">
        <f t="shared" si="0"/>
        <v>#REF!</v>
      </c>
      <c r="K63" s="9" t="e">
        <f t="shared" si="1"/>
        <v>#REF!</v>
      </c>
      <c r="L63" s="316"/>
      <c r="N63" s="18"/>
    </row>
    <row r="64" spans="1:14" s="28" customFormat="1" ht="15.75" customHeight="1">
      <c r="A64" s="50"/>
      <c r="B64" s="30" t="s">
        <v>26</v>
      </c>
      <c r="C64" s="22" t="s">
        <v>11</v>
      </c>
      <c r="D64" s="17" t="e">
        <f>7мес!D64+#REF!</f>
        <v>#REF!</v>
      </c>
      <c r="E64" s="26"/>
      <c r="F64" s="123"/>
      <c r="G64" s="156">
        <f t="shared" si="6"/>
        <v>7366.99251</v>
      </c>
      <c r="H64" s="320">
        <v>80.12806</v>
      </c>
      <c r="I64" s="320">
        <v>7286.86445</v>
      </c>
      <c r="J64" s="8" t="e">
        <f t="shared" si="0"/>
        <v>#REF!</v>
      </c>
      <c r="K64" s="9" t="e">
        <f t="shared" si="1"/>
        <v>#REF!</v>
      </c>
      <c r="L64" s="316"/>
      <c r="N64" s="18"/>
    </row>
    <row r="65" spans="1:14" s="28" customFormat="1" ht="16.5" customHeight="1">
      <c r="A65" s="50"/>
      <c r="B65" s="30" t="s">
        <v>55</v>
      </c>
      <c r="C65" s="22" t="s">
        <v>11</v>
      </c>
      <c r="D65" s="17" t="e">
        <f>7мес!D65+#REF!</f>
        <v>#REF!</v>
      </c>
      <c r="E65" s="26"/>
      <c r="F65" s="123"/>
      <c r="G65" s="156">
        <f t="shared" si="6"/>
        <v>130.311</v>
      </c>
      <c r="H65" s="320">
        <v>22.15287</v>
      </c>
      <c r="I65" s="320">
        <v>108.15813</v>
      </c>
      <c r="J65" s="8" t="e">
        <f t="shared" si="0"/>
        <v>#REF!</v>
      </c>
      <c r="K65" s="9" t="e">
        <f t="shared" si="1"/>
        <v>#REF!</v>
      </c>
      <c r="L65" s="316"/>
      <c r="N65" s="18"/>
    </row>
    <row r="66" spans="1:14" s="28" customFormat="1" ht="36" customHeight="1">
      <c r="A66" s="50"/>
      <c r="B66" s="51" t="s">
        <v>117</v>
      </c>
      <c r="C66" s="22" t="s">
        <v>11</v>
      </c>
      <c r="D66" s="17" t="e">
        <f>7мес!D66+#REF!</f>
        <v>#REF!</v>
      </c>
      <c r="E66" s="26"/>
      <c r="F66" s="123"/>
      <c r="G66" s="156">
        <f t="shared" si="6"/>
        <v>276.974</v>
      </c>
      <c r="H66" s="320">
        <f>132.974*0.17+144*0.17</f>
        <v>47.08558</v>
      </c>
      <c r="I66" s="320">
        <f>132.974*0.83+144*0.83</f>
        <v>229.88842</v>
      </c>
      <c r="J66" s="8" t="e">
        <f t="shared" si="0"/>
        <v>#REF!</v>
      </c>
      <c r="K66" s="9" t="e">
        <f t="shared" si="1"/>
        <v>#REF!</v>
      </c>
      <c r="L66" s="316"/>
      <c r="N66" s="18"/>
    </row>
    <row r="67" spans="1:14" s="28" customFormat="1" ht="18" customHeight="1" thickBot="1">
      <c r="A67" s="54"/>
      <c r="B67" s="241" t="s">
        <v>132</v>
      </c>
      <c r="C67" s="38" t="s">
        <v>11</v>
      </c>
      <c r="D67" s="17" t="e">
        <f>7мес!D67+#REF!</f>
        <v>#REF!</v>
      </c>
      <c r="E67" s="129"/>
      <c r="F67" s="122"/>
      <c r="G67" s="156">
        <f t="shared" si="6"/>
        <v>0</v>
      </c>
      <c r="H67" s="126"/>
      <c r="I67" s="126"/>
      <c r="J67" s="8" t="e">
        <f t="shared" si="0"/>
        <v>#REF!</v>
      </c>
      <c r="K67" s="9" t="e">
        <f t="shared" si="1"/>
        <v>#REF!</v>
      </c>
      <c r="L67" s="316"/>
      <c r="N67" s="18"/>
    </row>
    <row r="68" spans="1:14" s="28" customFormat="1" ht="20.25" customHeight="1">
      <c r="A68" s="219"/>
      <c r="B68" s="221" t="s">
        <v>56</v>
      </c>
      <c r="C68" s="220" t="s">
        <v>11</v>
      </c>
      <c r="D68" s="17" t="e">
        <f>7мес!D68+#REF!</f>
        <v>#REF!</v>
      </c>
      <c r="E68" s="222"/>
      <c r="F68" s="123"/>
      <c r="G68" s="156">
        <f t="shared" si="6"/>
        <v>0</v>
      </c>
      <c r="H68" s="126"/>
      <c r="I68" s="126"/>
      <c r="J68" s="8" t="e">
        <f t="shared" si="0"/>
        <v>#REF!</v>
      </c>
      <c r="K68" s="9" t="e">
        <f t="shared" si="1"/>
        <v>#REF!</v>
      </c>
      <c r="L68" s="316"/>
      <c r="N68" s="18"/>
    </row>
    <row r="69" spans="1:14" s="28" customFormat="1" ht="18" customHeight="1">
      <c r="A69" s="50"/>
      <c r="B69" s="125" t="s">
        <v>57</v>
      </c>
      <c r="C69" s="22" t="s">
        <v>11</v>
      </c>
      <c r="D69" s="17" t="e">
        <f>SUM(D70:D74)</f>
        <v>#REF!</v>
      </c>
      <c r="E69" s="17">
        <f>SUM(E70:E74)</f>
        <v>0</v>
      </c>
      <c r="F69" s="17"/>
      <c r="G69" s="126">
        <f>SUM(G70:G74)</f>
        <v>5671.27742</v>
      </c>
      <c r="H69" s="126">
        <f>SUM(H70:H74)</f>
        <v>823.45213</v>
      </c>
      <c r="I69" s="126">
        <f>SUM(I70:I74)</f>
        <v>4847.825290000001</v>
      </c>
      <c r="J69" s="8" t="e">
        <f t="shared" si="0"/>
        <v>#REF!</v>
      </c>
      <c r="K69" s="9" t="e">
        <f t="shared" si="1"/>
        <v>#REF!</v>
      </c>
      <c r="L69" s="316"/>
      <c r="N69" s="18"/>
    </row>
    <row r="70" spans="1:14" s="28" customFormat="1" ht="16.5" customHeight="1">
      <c r="A70" s="46"/>
      <c r="B70" s="282" t="s">
        <v>58</v>
      </c>
      <c r="C70" s="48" t="s">
        <v>11</v>
      </c>
      <c r="D70" s="57" t="e">
        <f>7мес!D70+#REF!</f>
        <v>#REF!</v>
      </c>
      <c r="E70" s="55"/>
      <c r="F70" s="55"/>
      <c r="G70" s="121">
        <f t="shared" si="6"/>
        <v>436.297</v>
      </c>
      <c r="H70" s="215">
        <f>21.9606+27.27395</f>
        <v>49.23455</v>
      </c>
      <c r="I70" s="215">
        <f>192.6444+165.24805+29.17</f>
        <v>387.06245</v>
      </c>
      <c r="J70" s="8" t="e">
        <f t="shared" si="0"/>
        <v>#REF!</v>
      </c>
      <c r="K70" s="9" t="e">
        <f t="shared" si="1"/>
        <v>#REF!</v>
      </c>
      <c r="L70" s="316"/>
      <c r="M70" s="56"/>
      <c r="N70" s="18"/>
    </row>
    <row r="71" spans="1:14" s="28" customFormat="1" ht="16.5" customHeight="1">
      <c r="A71" s="50"/>
      <c r="B71" s="282" t="s">
        <v>59</v>
      </c>
      <c r="C71" s="22" t="s">
        <v>11</v>
      </c>
      <c r="D71" s="57" t="e">
        <f>7мес!D71+#REF!</f>
        <v>#REF!</v>
      </c>
      <c r="E71" s="35"/>
      <c r="F71" s="55"/>
      <c r="G71" s="121">
        <f t="shared" si="6"/>
        <v>1650.4846</v>
      </c>
      <c r="H71" s="215">
        <f>159.395+66.88+19.8356</f>
        <v>246.1106</v>
      </c>
      <c r="I71" s="215">
        <f>955.605+10.8046+341.12+96.8444</f>
        <v>1404.374</v>
      </c>
      <c r="J71" s="8" t="e">
        <f t="shared" si="0"/>
        <v>#REF!</v>
      </c>
      <c r="K71" s="9" t="e">
        <f t="shared" si="1"/>
        <v>#REF!</v>
      </c>
      <c r="L71" s="316"/>
      <c r="M71" s="56"/>
      <c r="N71" s="18"/>
    </row>
    <row r="72" spans="1:14" s="28" customFormat="1" ht="33.75" customHeight="1">
      <c r="A72" s="46"/>
      <c r="B72" s="282" t="s">
        <v>149</v>
      </c>
      <c r="C72" s="48" t="s">
        <v>11</v>
      </c>
      <c r="D72" s="57" t="e">
        <f>7мес!D72+#REF!</f>
        <v>#REF!</v>
      </c>
      <c r="E72" s="58"/>
      <c r="F72" s="58"/>
      <c r="G72" s="121">
        <f t="shared" si="6"/>
        <v>0</v>
      </c>
      <c r="H72" s="215">
        <v>0</v>
      </c>
      <c r="I72" s="215">
        <v>0</v>
      </c>
      <c r="J72" s="8" t="e">
        <f t="shared" si="0"/>
        <v>#REF!</v>
      </c>
      <c r="K72" s="9" t="e">
        <f t="shared" si="1"/>
        <v>#REF!</v>
      </c>
      <c r="L72" s="316"/>
      <c r="M72" s="56"/>
      <c r="N72" s="18"/>
    </row>
    <row r="73" spans="1:15" s="28" customFormat="1" ht="16.5" customHeight="1">
      <c r="A73" s="46"/>
      <c r="B73" s="282" t="s">
        <v>130</v>
      </c>
      <c r="C73" s="48" t="s">
        <v>11</v>
      </c>
      <c r="D73" s="57" t="e">
        <f>7мес!D73+#REF!</f>
        <v>#REF!</v>
      </c>
      <c r="E73" s="58"/>
      <c r="F73" s="58"/>
      <c r="G73" s="121">
        <f t="shared" si="6"/>
        <v>729.57518</v>
      </c>
      <c r="H73" s="215">
        <v>84.76083</v>
      </c>
      <c r="I73" s="215">
        <v>644.81435</v>
      </c>
      <c r="J73" s="8" t="e">
        <f t="shared" si="0"/>
        <v>#REF!</v>
      </c>
      <c r="K73" s="9" t="e">
        <f t="shared" si="1"/>
        <v>#REF!</v>
      </c>
      <c r="L73" s="316"/>
      <c r="M73" s="56"/>
      <c r="N73" s="18"/>
      <c r="O73" s="33"/>
    </row>
    <row r="74" spans="1:15" s="28" customFormat="1" ht="33.75" customHeight="1">
      <c r="A74" s="50"/>
      <c r="B74" s="282" t="s">
        <v>157</v>
      </c>
      <c r="C74" s="22" t="s">
        <v>11</v>
      </c>
      <c r="D74" s="57" t="e">
        <f>7мес!D74+#REF!</f>
        <v>#REF!</v>
      </c>
      <c r="E74" s="59"/>
      <c r="F74" s="58"/>
      <c r="G74" s="121">
        <f t="shared" si="6"/>
        <v>2854.92064</v>
      </c>
      <c r="H74" s="215">
        <f>17.81015+12.38779+413.14821</f>
        <v>443.34615</v>
      </c>
      <c r="I74" s="215">
        <f>86.95545+107.45962+2217.15942</f>
        <v>2411.57449</v>
      </c>
      <c r="J74" s="8" t="e">
        <f t="shared" si="0"/>
        <v>#REF!</v>
      </c>
      <c r="K74" s="9" t="e">
        <f t="shared" si="1"/>
        <v>#REF!</v>
      </c>
      <c r="L74" s="316"/>
      <c r="M74" s="56"/>
      <c r="N74" s="18"/>
      <c r="O74" s="33"/>
    </row>
    <row r="75" spans="1:15" s="28" customFormat="1" ht="18" customHeight="1">
      <c r="A75" s="52"/>
      <c r="B75" s="53" t="s">
        <v>60</v>
      </c>
      <c r="C75" s="22" t="s">
        <v>11</v>
      </c>
      <c r="D75" s="17" t="e">
        <f>7мес!D75+#REF!</f>
        <v>#REF!</v>
      </c>
      <c r="E75" s="37"/>
      <c r="F75" s="340"/>
      <c r="G75" s="156">
        <f t="shared" si="6"/>
        <v>52.84226770000001</v>
      </c>
      <c r="H75" s="320">
        <f>25.89271+158.52681*0.17</f>
        <v>52.84226770000001</v>
      </c>
      <c r="I75" s="126"/>
      <c r="J75" s="8" t="e">
        <f t="shared" si="0"/>
        <v>#REF!</v>
      </c>
      <c r="K75" s="9" t="e">
        <f t="shared" si="1"/>
        <v>#REF!</v>
      </c>
      <c r="L75" s="316"/>
      <c r="N75" s="60"/>
      <c r="O75" s="33"/>
    </row>
    <row r="76" spans="1:14" s="28" customFormat="1" ht="18" customHeight="1">
      <c r="A76" s="52"/>
      <c r="B76" s="53" t="s">
        <v>125</v>
      </c>
      <c r="C76" s="22" t="s">
        <v>11</v>
      </c>
      <c r="D76" s="17" t="e">
        <f>7мес!D76+#REF!</f>
        <v>#REF!</v>
      </c>
      <c r="E76" s="37"/>
      <c r="F76" s="340"/>
      <c r="G76" s="156">
        <f t="shared" si="6"/>
        <v>0</v>
      </c>
      <c r="H76" s="126"/>
      <c r="I76" s="126"/>
      <c r="J76" s="8" t="e">
        <f t="shared" si="0"/>
        <v>#REF!</v>
      </c>
      <c r="K76" s="9" t="e">
        <f t="shared" si="1"/>
        <v>#REF!</v>
      </c>
      <c r="L76" s="316"/>
      <c r="N76" s="18"/>
    </row>
    <row r="77" spans="1:14" s="28" customFormat="1" ht="18" customHeight="1">
      <c r="A77" s="52"/>
      <c r="B77" s="53" t="s">
        <v>61</v>
      </c>
      <c r="C77" s="22" t="s">
        <v>11</v>
      </c>
      <c r="D77" s="17" t="e">
        <f>7мес!D77+#REF!</f>
        <v>#REF!</v>
      </c>
      <c r="E77" s="37"/>
      <c r="F77" s="340"/>
      <c r="G77" s="156">
        <f t="shared" si="6"/>
        <v>0</v>
      </c>
      <c r="H77" s="126"/>
      <c r="I77" s="126"/>
      <c r="J77" s="8" t="e">
        <f t="shared" si="0"/>
        <v>#REF!</v>
      </c>
      <c r="K77" s="9" t="e">
        <f t="shared" si="1"/>
        <v>#REF!</v>
      </c>
      <c r="L77" s="316"/>
      <c r="N77" s="18"/>
    </row>
    <row r="78" spans="1:14" s="28" customFormat="1" ht="18" customHeight="1">
      <c r="A78" s="52"/>
      <c r="B78" s="53" t="s">
        <v>62</v>
      </c>
      <c r="C78" s="22" t="s">
        <v>11</v>
      </c>
      <c r="D78" s="17" t="e">
        <f>7мес!D78+#REF!</f>
        <v>#REF!</v>
      </c>
      <c r="E78" s="37"/>
      <c r="F78" s="340"/>
      <c r="G78" s="156">
        <f t="shared" si="6"/>
        <v>0</v>
      </c>
      <c r="H78" s="126"/>
      <c r="I78" s="126"/>
      <c r="J78" s="8" t="e">
        <f aca="true" t="shared" si="7" ref="J78:J109">H78-D78</f>
        <v>#REF!</v>
      </c>
      <c r="K78" s="9" t="e">
        <f aca="true" t="shared" si="8" ref="K78:K109">H78/D78*100</f>
        <v>#REF!</v>
      </c>
      <c r="L78" s="316"/>
      <c r="N78" s="18"/>
    </row>
    <row r="79" spans="1:14" s="28" customFormat="1" ht="35.25" customHeight="1">
      <c r="A79" s="52"/>
      <c r="B79" s="61" t="s">
        <v>63</v>
      </c>
      <c r="C79" s="22" t="s">
        <v>11</v>
      </c>
      <c r="D79" s="17" t="e">
        <f>7мес!D79+#REF!</f>
        <v>#REF!</v>
      </c>
      <c r="E79" s="37"/>
      <c r="F79" s="340"/>
      <c r="G79" s="156">
        <f t="shared" si="6"/>
        <v>0</v>
      </c>
      <c r="H79" s="126"/>
      <c r="I79" s="126"/>
      <c r="J79" s="8" t="e">
        <f t="shared" si="7"/>
        <v>#REF!</v>
      </c>
      <c r="K79" s="9" t="e">
        <f t="shared" si="8"/>
        <v>#REF!</v>
      </c>
      <c r="L79" s="316"/>
      <c r="N79" s="18"/>
    </row>
    <row r="80" spans="1:14" s="28" customFormat="1" ht="18" customHeight="1">
      <c r="A80" s="52"/>
      <c r="B80" s="61" t="s">
        <v>123</v>
      </c>
      <c r="C80" s="22" t="s">
        <v>11</v>
      </c>
      <c r="D80" s="17" t="e">
        <f>7мес!D80+#REF!</f>
        <v>#REF!</v>
      </c>
      <c r="E80" s="37"/>
      <c r="F80" s="340"/>
      <c r="G80" s="156">
        <f t="shared" si="6"/>
        <v>159.9999</v>
      </c>
      <c r="H80" s="320">
        <f>159.9999*0.17</f>
        <v>27.199983000000003</v>
      </c>
      <c r="I80" s="320">
        <f>159.9999*0.83</f>
        <v>132.799917</v>
      </c>
      <c r="J80" s="8" t="e">
        <f t="shared" si="7"/>
        <v>#REF!</v>
      </c>
      <c r="K80" s="9" t="e">
        <f t="shared" si="8"/>
        <v>#REF!</v>
      </c>
      <c r="L80" s="316"/>
      <c r="N80" s="18"/>
    </row>
    <row r="81" spans="1:14" s="28" customFormat="1" ht="18" customHeight="1">
      <c r="A81" s="52"/>
      <c r="B81" s="61" t="s">
        <v>64</v>
      </c>
      <c r="C81" s="22" t="s">
        <v>11</v>
      </c>
      <c r="D81" s="17" t="e">
        <f>7мес!D81+#REF!</f>
        <v>#REF!</v>
      </c>
      <c r="E81" s="37"/>
      <c r="F81" s="340"/>
      <c r="G81" s="156">
        <f t="shared" si="6"/>
        <v>0</v>
      </c>
      <c r="H81" s="126"/>
      <c r="I81" s="126"/>
      <c r="J81" s="8" t="e">
        <f t="shared" si="7"/>
        <v>#REF!</v>
      </c>
      <c r="K81" s="9" t="e">
        <f t="shared" si="8"/>
        <v>#REF!</v>
      </c>
      <c r="L81" s="316"/>
      <c r="N81" s="18"/>
    </row>
    <row r="82" spans="1:14" s="28" customFormat="1" ht="36.75" customHeight="1">
      <c r="A82" s="52"/>
      <c r="B82" s="62" t="s">
        <v>65</v>
      </c>
      <c r="C82" s="22" t="s">
        <v>11</v>
      </c>
      <c r="D82" s="17" t="e">
        <f>7мес!D82+#REF!</f>
        <v>#REF!</v>
      </c>
      <c r="E82" s="37"/>
      <c r="F82" s="340"/>
      <c r="G82" s="156">
        <f t="shared" si="6"/>
        <v>0</v>
      </c>
      <c r="H82" s="126"/>
      <c r="I82" s="126"/>
      <c r="J82" s="8" t="e">
        <f t="shared" si="7"/>
        <v>#REF!</v>
      </c>
      <c r="K82" s="9" t="e">
        <f t="shared" si="8"/>
        <v>#REF!</v>
      </c>
      <c r="L82" s="316"/>
      <c r="N82" s="18"/>
    </row>
    <row r="83" spans="1:14" s="28" customFormat="1" ht="22.5" customHeight="1">
      <c r="A83" s="52"/>
      <c r="B83" s="62" t="s">
        <v>66</v>
      </c>
      <c r="C83" s="22" t="s">
        <v>11</v>
      </c>
      <c r="D83" s="17" t="e">
        <f>7мес!D83+#REF!</f>
        <v>#REF!</v>
      </c>
      <c r="E83" s="37"/>
      <c r="F83" s="340"/>
      <c r="G83" s="156">
        <f t="shared" si="6"/>
        <v>31.799999999999997</v>
      </c>
      <c r="H83" s="320">
        <v>5.406</v>
      </c>
      <c r="I83" s="320">
        <v>26.394</v>
      </c>
      <c r="J83" s="8" t="e">
        <f t="shared" si="7"/>
        <v>#REF!</v>
      </c>
      <c r="K83" s="9" t="e">
        <f t="shared" si="8"/>
        <v>#REF!</v>
      </c>
      <c r="L83" s="316"/>
      <c r="N83" s="18"/>
    </row>
    <row r="84" spans="1:14" s="28" customFormat="1" ht="22.5" customHeight="1">
      <c r="A84" s="52"/>
      <c r="B84" s="62" t="s">
        <v>67</v>
      </c>
      <c r="C84" s="22" t="s">
        <v>11</v>
      </c>
      <c r="D84" s="17" t="e">
        <f>7мес!D84+#REF!</f>
        <v>#REF!</v>
      </c>
      <c r="E84" s="37"/>
      <c r="F84" s="340"/>
      <c r="G84" s="156">
        <f t="shared" si="6"/>
        <v>0</v>
      </c>
      <c r="H84" s="126"/>
      <c r="I84" s="126"/>
      <c r="J84" s="8" t="e">
        <f t="shared" si="7"/>
        <v>#REF!</v>
      </c>
      <c r="K84" s="9" t="e">
        <f t="shared" si="8"/>
        <v>#REF!</v>
      </c>
      <c r="L84" s="316"/>
      <c r="N84" s="18"/>
    </row>
    <row r="85" spans="1:14" s="28" customFormat="1" ht="22.5" customHeight="1">
      <c r="A85" s="52"/>
      <c r="B85" s="62" t="s">
        <v>133</v>
      </c>
      <c r="C85" s="22" t="s">
        <v>11</v>
      </c>
      <c r="D85" s="17" t="e">
        <f>7мес!D85+#REF!</f>
        <v>#REF!</v>
      </c>
      <c r="E85" s="37"/>
      <c r="F85" s="340"/>
      <c r="G85" s="156">
        <f t="shared" si="6"/>
        <v>0</v>
      </c>
      <c r="H85" s="126"/>
      <c r="I85" s="126"/>
      <c r="J85" s="8" t="e">
        <f t="shared" si="7"/>
        <v>#REF!</v>
      </c>
      <c r="K85" s="9" t="e">
        <f t="shared" si="8"/>
        <v>#REF!</v>
      </c>
      <c r="L85" s="316"/>
      <c r="N85" s="18"/>
    </row>
    <row r="86" spans="1:14" s="28" customFormat="1" ht="22.5" customHeight="1">
      <c r="A86" s="52"/>
      <c r="B86" s="62" t="s">
        <v>34</v>
      </c>
      <c r="C86" s="22" t="s">
        <v>11</v>
      </c>
      <c r="D86" s="17" t="e">
        <f>7мес!D86+#REF!</f>
        <v>#REF!</v>
      </c>
      <c r="E86" s="37"/>
      <c r="F86" s="340"/>
      <c r="G86" s="156">
        <f t="shared" si="6"/>
        <v>0</v>
      </c>
      <c r="H86" s="205"/>
      <c r="I86" s="126"/>
      <c r="J86" s="8" t="e">
        <f t="shared" si="7"/>
        <v>#REF!</v>
      </c>
      <c r="K86" s="9" t="e">
        <f t="shared" si="8"/>
        <v>#REF!</v>
      </c>
      <c r="L86" s="316"/>
      <c r="N86" s="18"/>
    </row>
    <row r="87" spans="1:14" s="28" customFormat="1" ht="22.5" customHeight="1">
      <c r="A87" s="52"/>
      <c r="B87" s="62" t="s">
        <v>68</v>
      </c>
      <c r="C87" s="22" t="s">
        <v>11</v>
      </c>
      <c r="D87" s="17" t="e">
        <f>7мес!D87+#REF!</f>
        <v>#REF!</v>
      </c>
      <c r="E87" s="37"/>
      <c r="F87" s="340"/>
      <c r="G87" s="156">
        <f t="shared" si="6"/>
        <v>0</v>
      </c>
      <c r="H87" s="126"/>
      <c r="I87" s="126"/>
      <c r="J87" s="8" t="e">
        <f t="shared" si="7"/>
        <v>#REF!</v>
      </c>
      <c r="K87" s="9" t="e">
        <f t="shared" si="8"/>
        <v>#REF!</v>
      </c>
      <c r="L87" s="316"/>
      <c r="N87" s="18"/>
    </row>
    <row r="88" spans="1:14" s="28" customFormat="1" ht="22.5" customHeight="1">
      <c r="A88" s="52"/>
      <c r="B88" s="62" t="s">
        <v>69</v>
      </c>
      <c r="C88" s="22" t="s">
        <v>11</v>
      </c>
      <c r="D88" s="17" t="e">
        <f>7мес!D88+#REF!</f>
        <v>#REF!</v>
      </c>
      <c r="E88" s="37"/>
      <c r="F88" s="340"/>
      <c r="G88" s="156">
        <f t="shared" si="6"/>
        <v>0</v>
      </c>
      <c r="H88" s="126"/>
      <c r="I88" s="126"/>
      <c r="J88" s="8" t="e">
        <f t="shared" si="7"/>
        <v>#REF!</v>
      </c>
      <c r="K88" s="9" t="e">
        <f t="shared" si="8"/>
        <v>#REF!</v>
      </c>
      <c r="L88" s="316"/>
      <c r="N88" s="18"/>
    </row>
    <row r="89" spans="1:14" s="28" customFormat="1" ht="22.5" customHeight="1">
      <c r="A89" s="52"/>
      <c r="B89" s="62" t="s">
        <v>144</v>
      </c>
      <c r="C89" s="22" t="s">
        <v>11</v>
      </c>
      <c r="D89" s="17" t="e">
        <f>7мес!D89+#REF!</f>
        <v>#REF!</v>
      </c>
      <c r="E89" s="37"/>
      <c r="F89" s="340"/>
      <c r="G89" s="156">
        <f t="shared" si="6"/>
        <v>0</v>
      </c>
      <c r="H89" s="126"/>
      <c r="I89" s="126"/>
      <c r="J89" s="8" t="e">
        <f t="shared" si="7"/>
        <v>#REF!</v>
      </c>
      <c r="K89" s="9" t="e">
        <f t="shared" si="8"/>
        <v>#REF!</v>
      </c>
      <c r="L89" s="316"/>
      <c r="N89" s="18"/>
    </row>
    <row r="90" spans="1:14" s="28" customFormat="1" ht="22.5" customHeight="1">
      <c r="A90" s="52"/>
      <c r="B90" s="62" t="s">
        <v>70</v>
      </c>
      <c r="C90" s="22" t="s">
        <v>11</v>
      </c>
      <c r="D90" s="17" t="e">
        <f>7мес!D90+#REF!</f>
        <v>#REF!</v>
      </c>
      <c r="E90" s="37"/>
      <c r="F90" s="340"/>
      <c r="G90" s="156">
        <f t="shared" si="6"/>
        <v>0</v>
      </c>
      <c r="H90" s="126"/>
      <c r="I90" s="126"/>
      <c r="J90" s="8" t="e">
        <f t="shared" si="7"/>
        <v>#REF!</v>
      </c>
      <c r="K90" s="9" t="e">
        <f t="shared" si="8"/>
        <v>#REF!</v>
      </c>
      <c r="L90" s="316"/>
      <c r="N90" s="18"/>
    </row>
    <row r="91" spans="1:14" s="28" customFormat="1" ht="22.5" customHeight="1">
      <c r="A91" s="52"/>
      <c r="B91" s="62" t="s">
        <v>71</v>
      </c>
      <c r="C91" s="22" t="s">
        <v>11</v>
      </c>
      <c r="D91" s="17" t="e">
        <f>7мес!D91+#REF!</f>
        <v>#REF!</v>
      </c>
      <c r="E91" s="37"/>
      <c r="F91" s="340"/>
      <c r="G91" s="156">
        <f t="shared" si="6"/>
        <v>0</v>
      </c>
      <c r="H91" s="126"/>
      <c r="I91" s="126"/>
      <c r="J91" s="8" t="e">
        <f t="shared" si="7"/>
        <v>#REF!</v>
      </c>
      <c r="K91" s="9" t="e">
        <f t="shared" si="8"/>
        <v>#REF!</v>
      </c>
      <c r="L91" s="316"/>
      <c r="N91" s="18"/>
    </row>
    <row r="92" spans="1:14" s="28" customFormat="1" ht="22.5" customHeight="1">
      <c r="A92" s="52"/>
      <c r="B92" s="62" t="s">
        <v>152</v>
      </c>
      <c r="C92" s="22" t="s">
        <v>11</v>
      </c>
      <c r="D92" s="17" t="e">
        <f>7мес!D92+#REF!</f>
        <v>#REF!</v>
      </c>
      <c r="E92" s="37"/>
      <c r="F92" s="340"/>
      <c r="G92" s="156">
        <f>H92+I92</f>
        <v>0</v>
      </c>
      <c r="H92" s="126"/>
      <c r="I92" s="126"/>
      <c r="J92" s="8" t="e">
        <f t="shared" si="7"/>
        <v>#REF!</v>
      </c>
      <c r="K92" s="9" t="e">
        <f t="shared" si="8"/>
        <v>#REF!</v>
      </c>
      <c r="L92" s="316"/>
      <c r="N92" s="18"/>
    </row>
    <row r="93" spans="1:14" s="28" customFormat="1" ht="22.5" customHeight="1">
      <c r="A93" s="52"/>
      <c r="B93" s="279" t="s">
        <v>154</v>
      </c>
      <c r="C93" s="22" t="s">
        <v>11</v>
      </c>
      <c r="D93" s="17" t="e">
        <f>7мес!D93+#REF!</f>
        <v>#REF!</v>
      </c>
      <c r="E93" s="37"/>
      <c r="F93" s="340"/>
      <c r="G93" s="156">
        <f>H93+I93</f>
        <v>0</v>
      </c>
      <c r="H93" s="126"/>
      <c r="I93" s="126"/>
      <c r="J93" s="8" t="e">
        <f t="shared" si="7"/>
        <v>#REF!</v>
      </c>
      <c r="K93" s="9" t="e">
        <f t="shared" si="8"/>
        <v>#REF!</v>
      </c>
      <c r="L93" s="316"/>
      <c r="N93" s="18"/>
    </row>
    <row r="94" spans="1:14" s="28" customFormat="1" ht="33.75" customHeight="1">
      <c r="A94" s="52"/>
      <c r="B94" s="279" t="s">
        <v>158</v>
      </c>
      <c r="C94" s="22" t="s">
        <v>11</v>
      </c>
      <c r="D94" s="17" t="e">
        <f>7мес!D94+#REF!</f>
        <v>#REF!</v>
      </c>
      <c r="E94" s="37"/>
      <c r="F94" s="340"/>
      <c r="G94" s="156">
        <f>H94+I94</f>
        <v>125.90601</v>
      </c>
      <c r="H94" s="320">
        <f>4.5*0.17+0.6587+17.87131*0.17+21*0.17+30*0.17+15*0.17+36.759*0.17</f>
        <v>21.930852700000003</v>
      </c>
      <c r="I94" s="320">
        <f>4.5*0.83+0.117+17.87131*0.83+21*0.83+30*0.83+15*0.83+36.759*0.83</f>
        <v>103.97515729999999</v>
      </c>
      <c r="J94" s="8" t="e">
        <f t="shared" si="7"/>
        <v>#REF!</v>
      </c>
      <c r="K94" s="9" t="e">
        <f t="shared" si="8"/>
        <v>#REF!</v>
      </c>
      <c r="L94" s="316"/>
      <c r="N94" s="18"/>
    </row>
    <row r="95" spans="1:14" s="28" customFormat="1" ht="22.5" customHeight="1">
      <c r="A95" s="52"/>
      <c r="B95" s="279" t="s">
        <v>40</v>
      </c>
      <c r="C95" s="22" t="s">
        <v>11</v>
      </c>
      <c r="D95" s="17" t="e">
        <f>7мес!D95+#REF!</f>
        <v>#REF!</v>
      </c>
      <c r="E95" s="37"/>
      <c r="F95" s="340"/>
      <c r="G95" s="156">
        <f>H95+I95</f>
        <v>0</v>
      </c>
      <c r="H95" s="126"/>
      <c r="I95" s="126"/>
      <c r="J95" s="8" t="e">
        <f t="shared" si="7"/>
        <v>#REF!</v>
      </c>
      <c r="K95" s="9" t="e">
        <f t="shared" si="8"/>
        <v>#REF!</v>
      </c>
      <c r="L95" s="316"/>
      <c r="N95" s="18"/>
    </row>
    <row r="96" spans="1:14" s="28" customFormat="1" ht="36" customHeight="1" thickBot="1">
      <c r="A96" s="52"/>
      <c r="B96" s="62" t="s">
        <v>72</v>
      </c>
      <c r="C96" s="22" t="s">
        <v>11</v>
      </c>
      <c r="D96" s="17" t="e">
        <f>7мес!D96+#REF!</f>
        <v>#REF!</v>
      </c>
      <c r="E96" s="37"/>
      <c r="F96" s="340"/>
      <c r="G96" s="156">
        <f>H96+I96</f>
        <v>0</v>
      </c>
      <c r="H96" s="126"/>
      <c r="I96" s="126"/>
      <c r="J96" s="8" t="e">
        <f t="shared" si="7"/>
        <v>#REF!</v>
      </c>
      <c r="K96" s="9" t="e">
        <f t="shared" si="8"/>
        <v>#REF!</v>
      </c>
      <c r="L96" s="316"/>
      <c r="N96" s="18"/>
    </row>
    <row r="97" spans="1:14" s="28" customFormat="1" ht="20.25" customHeight="1" thickBot="1">
      <c r="A97" s="39"/>
      <c r="B97" s="44" t="s">
        <v>73</v>
      </c>
      <c r="C97" s="200" t="s">
        <v>11</v>
      </c>
      <c r="D97" s="201" t="e">
        <f>D52+D51</f>
        <v>#REF!</v>
      </c>
      <c r="E97" s="201" t="e">
        <f>E52+E51</f>
        <v>#REF!</v>
      </c>
      <c r="F97" s="201"/>
      <c r="G97" s="201">
        <f>G51+G52</f>
        <v>377599.78664000006</v>
      </c>
      <c r="H97" s="201">
        <f>H51+H52</f>
        <v>57096.5775757</v>
      </c>
      <c r="I97" s="201">
        <f>I51+I52</f>
        <v>320503.2090643</v>
      </c>
      <c r="J97" s="201" t="e">
        <f t="shared" si="7"/>
        <v>#REF!</v>
      </c>
      <c r="K97" s="201" t="e">
        <f t="shared" si="8"/>
        <v>#REF!</v>
      </c>
      <c r="L97" s="344"/>
      <c r="N97" s="18"/>
    </row>
    <row r="98" spans="1:14" s="28" customFormat="1" ht="34.5" customHeight="1" thickBot="1">
      <c r="A98" s="63"/>
      <c r="B98" s="64" t="s">
        <v>74</v>
      </c>
      <c r="C98" s="65" t="s">
        <v>75</v>
      </c>
      <c r="D98" s="17" t="e">
        <f>7мес!D98+#REF!</f>
        <v>#REF!</v>
      </c>
      <c r="E98" s="65" t="e">
        <f>#REF!+#REF!+#REF!+#REF!+#REF!+#REF!+#REF!+#REF!</f>
        <v>#REF!</v>
      </c>
      <c r="F98" s="65"/>
      <c r="G98" s="65"/>
      <c r="H98" s="126">
        <v>880.59046</v>
      </c>
      <c r="I98" s="126">
        <v>560631.578</v>
      </c>
      <c r="J98" s="8" t="e">
        <f t="shared" si="7"/>
        <v>#REF!</v>
      </c>
      <c r="K98" s="9" t="e">
        <f t="shared" si="8"/>
        <v>#REF!</v>
      </c>
      <c r="L98" s="316"/>
      <c r="N98" s="18"/>
    </row>
    <row r="99" spans="1:14" s="28" customFormat="1" ht="27.75" customHeight="1" thickBot="1">
      <c r="A99" s="43"/>
      <c r="B99" s="44" t="s">
        <v>76</v>
      </c>
      <c r="C99" s="45"/>
      <c r="D99" s="66" t="e">
        <f>D97/D98</f>
        <v>#REF!</v>
      </c>
      <c r="E99" s="67" t="e">
        <f>E97/E98</f>
        <v>#REF!</v>
      </c>
      <c r="F99" s="67"/>
      <c r="G99" s="45"/>
      <c r="H99" s="45">
        <f>H97/H98</f>
        <v>64.83896904322584</v>
      </c>
      <c r="I99" s="45">
        <f>I97/I98</f>
        <v>0.5716824054179481</v>
      </c>
      <c r="J99" s="67" t="e">
        <f t="shared" si="7"/>
        <v>#REF!</v>
      </c>
      <c r="K99" s="67" t="e">
        <f t="shared" si="8"/>
        <v>#REF!</v>
      </c>
      <c r="L99" s="345"/>
      <c r="N99" s="18"/>
    </row>
    <row r="100" spans="1:14" s="28" customFormat="1" ht="21.75" customHeight="1" thickBot="1">
      <c r="A100" s="68"/>
      <c r="B100" s="69" t="s">
        <v>77</v>
      </c>
      <c r="C100" s="70"/>
      <c r="D100" s="71" t="e">
        <f>SUM(D101:D107)</f>
        <v>#REF!</v>
      </c>
      <c r="E100" s="71">
        <f>SUM(E101:E107)</f>
        <v>0</v>
      </c>
      <c r="F100" s="71"/>
      <c r="G100" s="71">
        <f>SUM(G101:G107)</f>
        <v>0</v>
      </c>
      <c r="H100" s="71">
        <f>SUM(H101:H107)</f>
        <v>4562948.84843</v>
      </c>
      <c r="I100" s="71">
        <f>SUM(I101:I107)</f>
        <v>9916029.002090001</v>
      </c>
      <c r="J100" s="71" t="e">
        <f t="shared" si="7"/>
        <v>#REF!</v>
      </c>
      <c r="K100" s="71" t="e">
        <f t="shared" si="8"/>
        <v>#REF!</v>
      </c>
      <c r="L100" s="346"/>
      <c r="N100" s="18"/>
    </row>
    <row r="101" spans="1:14" s="28" customFormat="1" ht="16.5" customHeight="1">
      <c r="A101" s="72"/>
      <c r="B101" s="73" t="s">
        <v>78</v>
      </c>
      <c r="C101" s="73"/>
      <c r="D101" s="17" t="e">
        <f>7мес!D101+#REF!</f>
        <v>#REF!</v>
      </c>
      <c r="E101" s="74"/>
      <c r="F101" s="74"/>
      <c r="G101" s="75"/>
      <c r="H101" s="321">
        <v>2292286.37717</v>
      </c>
      <c r="I101" s="76" t="s">
        <v>79</v>
      </c>
      <c r="J101" s="8" t="e">
        <f t="shared" si="7"/>
        <v>#REF!</v>
      </c>
      <c r="K101" s="9" t="e">
        <f t="shared" si="8"/>
        <v>#REF!</v>
      </c>
      <c r="L101" s="316"/>
      <c r="N101" s="18"/>
    </row>
    <row r="102" spans="1:15" s="28" customFormat="1" ht="16.5" customHeight="1">
      <c r="A102" s="77"/>
      <c r="B102" s="78" t="s">
        <v>80</v>
      </c>
      <c r="C102" s="78"/>
      <c r="D102" s="17" t="e">
        <f>7мес!D102+#REF!</f>
        <v>#REF!</v>
      </c>
      <c r="E102" s="79"/>
      <c r="F102" s="74"/>
      <c r="G102" s="75"/>
      <c r="H102" s="36" t="s">
        <v>79</v>
      </c>
      <c r="I102" s="321">
        <v>6430015.18491</v>
      </c>
      <c r="J102" s="8" t="e">
        <f t="shared" si="7"/>
        <v>#VALUE!</v>
      </c>
      <c r="K102" s="9" t="e">
        <f t="shared" si="8"/>
        <v>#VALUE!</v>
      </c>
      <c r="L102" s="316"/>
      <c r="N102" s="80"/>
      <c r="O102" s="196"/>
    </row>
    <row r="103" spans="1:15" s="28" customFormat="1" ht="16.5" customHeight="1">
      <c r="A103" s="50"/>
      <c r="B103" s="78" t="s">
        <v>82</v>
      </c>
      <c r="C103" s="78"/>
      <c r="D103" s="17" t="e">
        <f>7мес!D103+#REF!</f>
        <v>#REF!</v>
      </c>
      <c r="E103" s="79"/>
      <c r="F103" s="74"/>
      <c r="G103" s="75"/>
      <c r="H103" s="321">
        <v>2270662.47126</v>
      </c>
      <c r="I103" s="36" t="s">
        <v>79</v>
      </c>
      <c r="J103" s="8" t="e">
        <f t="shared" si="7"/>
        <v>#REF!</v>
      </c>
      <c r="K103" s="9" t="e">
        <f t="shared" si="8"/>
        <v>#REF!</v>
      </c>
      <c r="L103" s="316"/>
      <c r="N103" s="80"/>
      <c r="O103" s="81"/>
    </row>
    <row r="104" spans="1:15" s="28" customFormat="1" ht="16.5" customHeight="1">
      <c r="A104" s="50"/>
      <c r="B104" s="78" t="s">
        <v>84</v>
      </c>
      <c r="C104" s="78"/>
      <c r="D104" s="17" t="e">
        <f>7мес!D104+#REF!</f>
        <v>#REF!</v>
      </c>
      <c r="E104" s="79"/>
      <c r="F104" s="74"/>
      <c r="G104" s="75"/>
      <c r="H104" s="36" t="s">
        <v>79</v>
      </c>
      <c r="I104" s="321">
        <f>2645554.38271+6218.31301+238.78547</f>
        <v>2652011.48119</v>
      </c>
      <c r="J104" s="8" t="e">
        <f t="shared" si="7"/>
        <v>#VALUE!</v>
      </c>
      <c r="K104" s="9" t="e">
        <f t="shared" si="8"/>
        <v>#VALUE!</v>
      </c>
      <c r="L104" s="316"/>
      <c r="N104" s="82"/>
      <c r="O104" s="81"/>
    </row>
    <row r="105" spans="1:15" s="28" customFormat="1" ht="16.5" customHeight="1">
      <c r="A105" s="50"/>
      <c r="B105" s="78" t="s">
        <v>86</v>
      </c>
      <c r="C105" s="78"/>
      <c r="D105" s="17" t="e">
        <f>7мес!D105+#REF!</f>
        <v>#REF!</v>
      </c>
      <c r="E105" s="79"/>
      <c r="F105" s="74"/>
      <c r="G105" s="75"/>
      <c r="H105" s="36" t="s">
        <v>79</v>
      </c>
      <c r="I105" s="321">
        <v>778759.74003</v>
      </c>
      <c r="J105" s="8" t="e">
        <f t="shared" si="7"/>
        <v>#VALUE!</v>
      </c>
      <c r="K105" s="9" t="e">
        <f t="shared" si="8"/>
        <v>#VALUE!</v>
      </c>
      <c r="L105" s="316"/>
      <c r="N105" s="83"/>
      <c r="O105" s="81"/>
    </row>
    <row r="106" spans="1:15" s="28" customFormat="1" ht="16.5" customHeight="1">
      <c r="A106" s="50"/>
      <c r="B106" s="78" t="s">
        <v>88</v>
      </c>
      <c r="C106" s="78"/>
      <c r="D106" s="17" t="e">
        <f>7мес!D106+#REF!</f>
        <v>#REF!</v>
      </c>
      <c r="E106" s="79"/>
      <c r="F106" s="74"/>
      <c r="G106" s="75"/>
      <c r="H106" s="36"/>
      <c r="I106" s="321">
        <v>55242.59596</v>
      </c>
      <c r="J106" s="8" t="e">
        <f t="shared" si="7"/>
        <v>#REF!</v>
      </c>
      <c r="K106" s="9" t="e">
        <f t="shared" si="8"/>
        <v>#REF!</v>
      </c>
      <c r="L106" s="316"/>
      <c r="N106" s="82"/>
      <c r="O106" s="81"/>
    </row>
    <row r="107" spans="1:15" s="28" customFormat="1" ht="16.5" customHeight="1" thickBot="1">
      <c r="A107" s="50"/>
      <c r="B107" s="78" t="s">
        <v>153</v>
      </c>
      <c r="C107" s="78"/>
      <c r="D107" s="17" t="e">
        <f>7мес!D107+#REF!</f>
        <v>#REF!</v>
      </c>
      <c r="E107" s="79"/>
      <c r="F107" s="74"/>
      <c r="G107" s="75"/>
      <c r="H107" s="36"/>
      <c r="I107" s="321">
        <f>G107</f>
        <v>0</v>
      </c>
      <c r="J107" s="8" t="e">
        <f t="shared" si="7"/>
        <v>#REF!</v>
      </c>
      <c r="K107" s="9" t="e">
        <f t="shared" si="8"/>
        <v>#REF!</v>
      </c>
      <c r="L107" s="316"/>
      <c r="N107" s="82"/>
      <c r="O107" s="81"/>
    </row>
    <row r="108" spans="1:15" s="28" customFormat="1" ht="38.25" customHeight="1" thickBot="1">
      <c r="A108" s="43"/>
      <c r="B108" s="88" t="s">
        <v>90</v>
      </c>
      <c r="C108" s="88"/>
      <c r="D108" s="45" t="e">
        <f>D97+D100</f>
        <v>#REF!</v>
      </c>
      <c r="E108" s="45" t="e">
        <f>E97+E100</f>
        <v>#REF!</v>
      </c>
      <c r="F108" s="45"/>
      <c r="G108" s="45">
        <f>G97+G100</f>
        <v>377599.78664000006</v>
      </c>
      <c r="H108" s="45">
        <f>H97+H100</f>
        <v>4620045.426005701</v>
      </c>
      <c r="I108" s="45">
        <f>I97+I100</f>
        <v>10236532.2111543</v>
      </c>
      <c r="J108" s="45" t="e">
        <f t="shared" si="7"/>
        <v>#REF!</v>
      </c>
      <c r="K108" s="45" t="e">
        <f t="shared" si="8"/>
        <v>#REF!</v>
      </c>
      <c r="L108" s="343"/>
      <c r="N108" s="18"/>
      <c r="O108" s="89"/>
    </row>
    <row r="109" spans="1:14" s="28" customFormat="1" ht="33.75" customHeight="1" thickBot="1">
      <c r="A109" s="90"/>
      <c r="B109" s="91" t="s">
        <v>91</v>
      </c>
      <c r="C109" s="91"/>
      <c r="D109" s="92" t="e">
        <f>D108/D98</f>
        <v>#REF!</v>
      </c>
      <c r="E109" s="93" t="e">
        <f>E108/E98</f>
        <v>#REF!</v>
      </c>
      <c r="F109" s="93"/>
      <c r="G109" s="318"/>
      <c r="H109" s="319">
        <f>H108/H98</f>
        <v>5246.531317186539</v>
      </c>
      <c r="I109" s="319">
        <f>I108/I98</f>
        <v>18.2589290593872</v>
      </c>
      <c r="J109" s="8" t="e">
        <f t="shared" si="7"/>
        <v>#REF!</v>
      </c>
      <c r="K109" s="9" t="e">
        <f t="shared" si="8"/>
        <v>#REF!</v>
      </c>
      <c r="L109" s="316"/>
      <c r="N109" s="95"/>
    </row>
    <row r="110" spans="1:14" s="28" customFormat="1" ht="18.75" customHeight="1">
      <c r="A110" s="96"/>
      <c r="B110" s="97"/>
      <c r="C110" s="97"/>
      <c r="D110" s="98"/>
      <c r="E110" s="99"/>
      <c r="F110" s="99"/>
      <c r="G110" s="100"/>
      <c r="H110" s="102"/>
      <c r="I110" s="102"/>
      <c r="J110" s="101"/>
      <c r="K110" s="103"/>
      <c r="L110" s="103"/>
      <c r="N110" s="95"/>
    </row>
    <row r="111" spans="1:14" s="28" customFormat="1" ht="15" customHeight="1">
      <c r="A111" s="109"/>
      <c r="B111" s="109"/>
      <c r="C111" s="109"/>
      <c r="D111" s="109"/>
      <c r="E111" s="109"/>
      <c r="F111" s="109"/>
      <c r="G111" s="268">
        <f>H111+I111</f>
        <v>13929564.961</v>
      </c>
      <c r="H111" s="306">
        <v>4848142.291</v>
      </c>
      <c r="I111" s="306">
        <v>9081422.67</v>
      </c>
      <c r="J111" s="109"/>
      <c r="K111" s="109"/>
      <c r="L111" s="109"/>
      <c r="N111" s="95"/>
    </row>
    <row r="112" spans="7:12" ht="13.5">
      <c r="G112" s="268">
        <f>H112+I112</f>
        <v>114.545</v>
      </c>
      <c r="H112" s="307">
        <v>19.473</v>
      </c>
      <c r="I112" s="307">
        <v>95.072</v>
      </c>
      <c r="J112" s="397" t="s">
        <v>119</v>
      </c>
      <c r="K112" s="397"/>
      <c r="L112" s="236"/>
    </row>
    <row r="113" spans="5:13" ht="13.5" hidden="1" outlineLevel="1">
      <c r="E113" s="104" t="s">
        <v>118</v>
      </c>
      <c r="G113" s="268">
        <f aca="true" t="shared" si="9" ref="G113:G120">H113+I113</f>
        <v>8186626</v>
      </c>
      <c r="H113" s="308">
        <v>2444753</v>
      </c>
      <c r="I113" s="308">
        <v>5741873</v>
      </c>
      <c r="J113" s="239" t="s">
        <v>136</v>
      </c>
      <c r="K113" s="239"/>
      <c r="L113" s="239"/>
      <c r="M113" s="237"/>
    </row>
    <row r="114" spans="7:13" ht="13.5" hidden="1" outlineLevel="1">
      <c r="G114" s="268">
        <f t="shared" si="9"/>
        <v>0</v>
      </c>
      <c r="H114" s="309"/>
      <c r="I114" s="309"/>
      <c r="J114" s="238"/>
      <c r="K114" s="238"/>
      <c r="L114" s="238"/>
      <c r="M114" s="237"/>
    </row>
    <row r="115" spans="1:16" ht="18" customHeight="1" hidden="1" outlineLevel="1">
      <c r="A115" s="394"/>
      <c r="B115" s="394"/>
      <c r="D115" s="108"/>
      <c r="E115" s="108" t="s">
        <v>92</v>
      </c>
      <c r="F115" s="108"/>
      <c r="G115" s="268">
        <f t="shared" si="9"/>
        <v>19241</v>
      </c>
      <c r="H115" s="308">
        <v>3249</v>
      </c>
      <c r="I115" s="308">
        <v>15992</v>
      </c>
      <c r="J115" s="428" t="s">
        <v>119</v>
      </c>
      <c r="K115" s="428"/>
      <c r="L115" s="428"/>
      <c r="M115" s="428"/>
      <c r="N115" s="109"/>
      <c r="O115" s="109"/>
      <c r="P115" s="109"/>
    </row>
    <row r="116" spans="7:13" ht="13.5" hidden="1" outlineLevel="1">
      <c r="G116" s="268">
        <f t="shared" si="9"/>
        <v>8167385</v>
      </c>
      <c r="H116" s="309">
        <f>H113-H115</f>
        <v>2441504</v>
      </c>
      <c r="I116" s="309">
        <f>I113-I115</f>
        <v>5725881</v>
      </c>
      <c r="J116" s="237" t="s">
        <v>137</v>
      </c>
      <c r="K116" s="237"/>
      <c r="L116" s="237"/>
      <c r="M116" s="237"/>
    </row>
    <row r="117" spans="3:16" ht="15" customHeight="1" hidden="1" outlineLevel="1">
      <c r="C117" s="110"/>
      <c r="D117" s="110"/>
      <c r="E117" s="110"/>
      <c r="F117" s="110"/>
      <c r="G117" s="268">
        <f t="shared" si="9"/>
        <v>-6689192.637160001</v>
      </c>
      <c r="H117" s="308">
        <f>H116-H108</f>
        <v>-2178541.4260057006</v>
      </c>
      <c r="I117" s="308">
        <f>I116-I108</f>
        <v>-4510651.211154301</v>
      </c>
      <c r="J117" s="237" t="s">
        <v>138</v>
      </c>
      <c r="K117" s="237"/>
      <c r="L117" s="237"/>
      <c r="M117" s="237"/>
      <c r="P117" s="111">
        <v>2.084</v>
      </c>
    </row>
    <row r="118" spans="3:17" ht="13.5" hidden="1" outlineLevel="1">
      <c r="C118" s="110"/>
      <c r="D118" s="110"/>
      <c r="E118" s="110"/>
      <c r="F118" s="110"/>
      <c r="G118" s="268">
        <f t="shared" si="9"/>
        <v>0</v>
      </c>
      <c r="H118" s="310"/>
      <c r="I118" s="310"/>
      <c r="P118" s="111">
        <v>0.043</v>
      </c>
      <c r="Q118" s="104" t="s">
        <v>93</v>
      </c>
    </row>
    <row r="119" spans="3:17" ht="13.5" hidden="1" outlineLevel="1">
      <c r="C119" s="110"/>
      <c r="D119" s="110"/>
      <c r="E119" s="110"/>
      <c r="F119" s="110"/>
      <c r="G119" s="268">
        <f t="shared" si="9"/>
        <v>0</v>
      </c>
      <c r="H119" s="307"/>
      <c r="I119" s="307"/>
      <c r="P119" s="111">
        <v>1.693</v>
      </c>
      <c r="Q119" s="104" t="s">
        <v>94</v>
      </c>
    </row>
    <row r="120" spans="3:9" ht="13.5" collapsed="1">
      <c r="C120" s="110"/>
      <c r="D120" s="110"/>
      <c r="E120" s="110"/>
      <c r="F120" s="110"/>
      <c r="G120" s="268">
        <f t="shared" si="9"/>
        <v>13929450.416</v>
      </c>
      <c r="H120" s="310">
        <f>H111-H112</f>
        <v>4848122.818</v>
      </c>
      <c r="I120" s="310">
        <f>I111-I112</f>
        <v>9081327.598</v>
      </c>
    </row>
    <row r="121" spans="1:12" ht="14.25" customHeight="1">
      <c r="A121" s="396" t="s">
        <v>195</v>
      </c>
      <c r="B121" s="396"/>
      <c r="C121" s="110"/>
      <c r="D121" s="110"/>
      <c r="E121" s="110"/>
      <c r="F121" s="110"/>
      <c r="G121" s="310"/>
      <c r="H121" s="310"/>
      <c r="I121" s="310"/>
      <c r="J121" s="395" t="s">
        <v>122</v>
      </c>
      <c r="K121" s="395"/>
      <c r="L121" s="113"/>
    </row>
    <row r="122" spans="1:12" ht="14.25" customHeight="1">
      <c r="A122" s="112"/>
      <c r="B122" s="112"/>
      <c r="H122" s="268">
        <f>H108-H120</f>
        <v>-228077.39199429937</v>
      </c>
      <c r="I122" s="268">
        <f>I108-I120</f>
        <v>1155204.6131543014</v>
      </c>
      <c r="J122" s="113"/>
      <c r="K122" s="113"/>
      <c r="L122" s="113"/>
    </row>
    <row r="123" spans="1:15" ht="18" customHeight="1">
      <c r="A123" s="396" t="s">
        <v>95</v>
      </c>
      <c r="B123" s="396"/>
      <c r="J123" s="395" t="s">
        <v>155</v>
      </c>
      <c r="K123" s="395"/>
      <c r="L123" s="113"/>
      <c r="O123" s="111"/>
    </row>
    <row r="124" spans="1:12" ht="14.25" customHeight="1">
      <c r="A124" s="112"/>
      <c r="B124" s="112"/>
      <c r="J124" s="113"/>
      <c r="K124" s="113"/>
      <c r="L124" s="113"/>
    </row>
    <row r="125" spans="1:12" ht="16.5" customHeight="1">
      <c r="A125" s="396" t="s">
        <v>96</v>
      </c>
      <c r="B125" s="396"/>
      <c r="J125" s="395" t="s">
        <v>150</v>
      </c>
      <c r="K125" s="395"/>
      <c r="L125" s="113"/>
    </row>
    <row r="126" spans="4:9" ht="13.5" hidden="1" outlineLevel="1">
      <c r="D126" s="114" t="s">
        <v>97</v>
      </c>
      <c r="G126" s="268">
        <f>H126+I126</f>
        <v>9697055.15523</v>
      </c>
      <c r="H126" s="268">
        <f>'[5]12 мес '!$E$80</f>
        <v>2848759.0347800003</v>
      </c>
      <c r="I126" s="268">
        <f>'[5]12 мес '!$F$78</f>
        <v>6848296.120449999</v>
      </c>
    </row>
    <row r="127" spans="4:9" ht="13.5" hidden="1" outlineLevel="1">
      <c r="D127" s="104" t="s">
        <v>98</v>
      </c>
      <c r="G127" s="268">
        <f>H127+I127</f>
        <v>-5159522.481930002</v>
      </c>
      <c r="H127" s="268">
        <f>H126-H108</f>
        <v>-1771286.3912257003</v>
      </c>
      <c r="I127" s="268">
        <f>I126-I108</f>
        <v>-3388236.0907043014</v>
      </c>
    </row>
    <row r="128" ht="13.5" hidden="1" outlineLevel="1"/>
    <row r="129" spans="4:7" ht="27" hidden="1" outlineLevel="1">
      <c r="D129" s="110" t="s">
        <v>99</v>
      </c>
      <c r="G129" s="268">
        <v>18808</v>
      </c>
    </row>
    <row r="130" ht="13.5" hidden="1" outlineLevel="1"/>
    <row r="131" spans="4:7" ht="13.5" hidden="1" outlineLevel="1">
      <c r="D131" s="104" t="s">
        <v>100</v>
      </c>
      <c r="G131" s="268">
        <f>G127+G129</f>
        <v>-5140714.481930002</v>
      </c>
    </row>
    <row r="132" spans="4:7" ht="45.75" customHeight="1" hidden="1" outlineLevel="1">
      <c r="D132" s="110" t="s">
        <v>101</v>
      </c>
      <c r="G132" s="272">
        <v>239903</v>
      </c>
    </row>
    <row r="133" spans="4:14" ht="29.25" customHeight="1" hidden="1" outlineLevel="1">
      <c r="D133" s="104" t="s">
        <v>102</v>
      </c>
      <c r="G133" s="268">
        <f>G132-G131</f>
        <v>5380617.481930002</v>
      </c>
      <c r="H133" s="398" t="s">
        <v>103</v>
      </c>
      <c r="I133" s="398"/>
      <c r="J133" s="398"/>
      <c r="K133" s="398"/>
      <c r="L133" s="398"/>
      <c r="M133" s="398"/>
      <c r="N133" s="398"/>
    </row>
    <row r="134" ht="13.5" collapsed="1"/>
    <row r="137" ht="13.5">
      <c r="A137" s="117" t="s">
        <v>151</v>
      </c>
    </row>
    <row r="138" ht="13.5">
      <c r="A138" s="117" t="s">
        <v>104</v>
      </c>
    </row>
    <row r="144" spans="2:6" ht="13.5">
      <c r="B144" s="117"/>
      <c r="C144" s="117"/>
      <c r="D144" s="117"/>
      <c r="E144" s="117"/>
      <c r="F144" s="117"/>
    </row>
    <row r="145" spans="2:6" ht="13.5">
      <c r="B145" s="117"/>
      <c r="C145" s="117"/>
      <c r="D145" s="117"/>
      <c r="E145" s="117"/>
      <c r="F145" s="117"/>
    </row>
  </sheetData>
  <sheetProtection/>
  <mergeCells count="26">
    <mergeCell ref="P32:P36"/>
    <mergeCell ref="A115:B115"/>
    <mergeCell ref="J125:K125"/>
    <mergeCell ref="A121:B121"/>
    <mergeCell ref="A123:B123"/>
    <mergeCell ref="J115:M115"/>
    <mergeCell ref="J112:K112"/>
    <mergeCell ref="H133:N133"/>
    <mergeCell ref="A125:B125"/>
    <mergeCell ref="J121:K121"/>
    <mergeCell ref="J123:K123"/>
    <mergeCell ref="D5:D7"/>
    <mergeCell ref="E5:E7"/>
    <mergeCell ref="G5:G7"/>
    <mergeCell ref="J5:K5"/>
    <mergeCell ref="J6:J7"/>
    <mergeCell ref="K6:K7"/>
    <mergeCell ref="H5:H7"/>
    <mergeCell ref="I5:I7"/>
    <mergeCell ref="A1:K1"/>
    <mergeCell ref="A2:K2"/>
    <mergeCell ref="A3:K3"/>
    <mergeCell ref="G4:I4"/>
    <mergeCell ref="A5:A7"/>
    <mergeCell ref="B5:B7"/>
    <mergeCell ref="C5:C7"/>
  </mergeCells>
  <printOptions horizontalCentered="1"/>
  <pageMargins left="0" right="0" top="0" bottom="0" header="0" footer="0"/>
  <pageSetup fitToHeight="2" horizontalDpi="600" verticalDpi="600" orientation="portrait" paperSize="9" scale="63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06"/>
  <sheetViews>
    <sheetView tabSelected="1" view="pageBreakPreview" zoomScale="73" zoomScaleNormal="70" zoomScaleSheetLayoutView="73" zoomScalePageLayoutView="0" workbookViewId="0" topLeftCell="A1">
      <selection activeCell="A6" sqref="A6:H6"/>
    </sheetView>
  </sheetViews>
  <sheetFormatPr defaultColWidth="9.125" defaultRowHeight="12.75"/>
  <cols>
    <col min="1" max="1" width="9.125" style="188" customWidth="1"/>
    <col min="2" max="2" width="44.875" style="188" customWidth="1"/>
    <col min="3" max="3" width="14.125" style="188" customWidth="1"/>
    <col min="4" max="4" width="22.125" style="250" customWidth="1"/>
    <col min="5" max="5" width="22.125" style="188" customWidth="1"/>
    <col min="6" max="6" width="13.125" style="250" customWidth="1"/>
    <col min="7" max="7" width="15.875" style="188" customWidth="1"/>
    <col min="8" max="8" width="75.50390625" style="188" customWidth="1"/>
    <col min="9" max="9" width="20.50390625" style="188" customWidth="1"/>
    <col min="10" max="10" width="13.625" style="188" bestFit="1" customWidth="1"/>
    <col min="11" max="11" width="11.50390625" style="188" bestFit="1" customWidth="1"/>
    <col min="12" max="12" width="9.375" style="188" bestFit="1" customWidth="1"/>
    <col min="13" max="16384" width="9.125" style="188" customWidth="1"/>
  </cols>
  <sheetData>
    <row r="1" s="248" customFormat="1" ht="18">
      <c r="H1" s="256" t="s">
        <v>145</v>
      </c>
    </row>
    <row r="2" s="248" customFormat="1" ht="24" customHeight="1">
      <c r="H2" s="256" t="s">
        <v>193</v>
      </c>
    </row>
    <row r="3" s="248" customFormat="1" ht="18">
      <c r="H3" s="256" t="s">
        <v>194</v>
      </c>
    </row>
    <row r="4" spans="1:8" s="248" customFormat="1" ht="24.75" customHeight="1">
      <c r="A4" s="435"/>
      <c r="B4" s="435"/>
      <c r="C4" s="435"/>
      <c r="D4" s="435"/>
      <c r="E4" s="435"/>
      <c r="F4" s="435"/>
      <c r="G4" s="435"/>
      <c r="H4" s="435"/>
    </row>
    <row r="5" spans="1:8" s="249" customFormat="1" ht="30" customHeight="1">
      <c r="A5" s="435" t="s">
        <v>147</v>
      </c>
      <c r="B5" s="435"/>
      <c r="C5" s="435"/>
      <c r="D5" s="435"/>
      <c r="E5" s="435"/>
      <c r="F5" s="435"/>
      <c r="G5" s="435"/>
      <c r="H5" s="435"/>
    </row>
    <row r="6" spans="1:8" s="249" customFormat="1" ht="30" customHeight="1">
      <c r="A6" s="435" t="s">
        <v>184</v>
      </c>
      <c r="B6" s="435"/>
      <c r="C6" s="435"/>
      <c r="D6" s="435"/>
      <c r="E6" s="435"/>
      <c r="F6" s="435"/>
      <c r="G6" s="435"/>
      <c r="H6" s="435"/>
    </row>
    <row r="7" spans="1:8" s="249" customFormat="1" ht="32.25" customHeight="1">
      <c r="A7" s="436" t="s">
        <v>226</v>
      </c>
      <c r="B7" s="436"/>
      <c r="C7" s="436"/>
      <c r="D7" s="436"/>
      <c r="E7" s="436"/>
      <c r="F7" s="436"/>
      <c r="G7" s="436"/>
      <c r="H7" s="436"/>
    </row>
    <row r="8" spans="1:8" s="249" customFormat="1" ht="18" customHeight="1">
      <c r="A8" s="436"/>
      <c r="B8" s="436"/>
      <c r="C8" s="436"/>
      <c r="D8" s="436"/>
      <c r="E8" s="436"/>
      <c r="F8" s="436"/>
      <c r="G8" s="436"/>
      <c r="H8" s="436"/>
    </row>
    <row r="9" spans="1:8" s="249" customFormat="1" ht="18" customHeight="1">
      <c r="A9" s="436"/>
      <c r="B9" s="436"/>
      <c r="C9" s="436"/>
      <c r="D9" s="436"/>
      <c r="E9" s="436"/>
      <c r="F9" s="436"/>
      <c r="G9" s="436"/>
      <c r="H9" s="436"/>
    </row>
    <row r="10" spans="1:8" s="249" customFormat="1" ht="18" customHeight="1">
      <c r="A10" s="436"/>
      <c r="B10" s="436"/>
      <c r="C10" s="436"/>
      <c r="D10" s="436"/>
      <c r="E10" s="436"/>
      <c r="F10" s="436"/>
      <c r="G10" s="436"/>
      <c r="H10" s="436"/>
    </row>
    <row r="11" spans="1:8" s="249" customFormat="1" ht="18" customHeight="1">
      <c r="A11" s="436"/>
      <c r="B11" s="436"/>
      <c r="C11" s="436"/>
      <c r="D11" s="436"/>
      <c r="E11" s="436"/>
      <c r="F11" s="436"/>
      <c r="G11" s="436"/>
      <c r="H11" s="436"/>
    </row>
    <row r="12" spans="1:8" s="249" customFormat="1" ht="39" customHeight="1">
      <c r="A12" s="436"/>
      <c r="B12" s="436"/>
      <c r="C12" s="436"/>
      <c r="D12" s="436"/>
      <c r="E12" s="436"/>
      <c r="F12" s="436"/>
      <c r="G12" s="436"/>
      <c r="H12" s="436"/>
    </row>
    <row r="13" spans="1:8" s="174" customFormat="1" ht="13.5" customHeight="1">
      <c r="A13" s="430" t="s">
        <v>105</v>
      </c>
      <c r="B13" s="430" t="s">
        <v>139</v>
      </c>
      <c r="C13" s="430" t="s">
        <v>4</v>
      </c>
      <c r="D13" s="430" t="s">
        <v>227</v>
      </c>
      <c r="E13" s="430" t="s">
        <v>228</v>
      </c>
      <c r="F13" s="430" t="s">
        <v>106</v>
      </c>
      <c r="G13" s="430" t="s">
        <v>140</v>
      </c>
      <c r="H13" s="430" t="s">
        <v>216</v>
      </c>
    </row>
    <row r="14" spans="1:8" s="174" customFormat="1" ht="15" customHeight="1">
      <c r="A14" s="430"/>
      <c r="B14" s="430"/>
      <c r="C14" s="430"/>
      <c r="D14" s="430"/>
      <c r="E14" s="430"/>
      <c r="F14" s="430"/>
      <c r="G14" s="430"/>
      <c r="H14" s="430"/>
    </row>
    <row r="15" spans="1:8" s="174" customFormat="1" ht="5.25" customHeight="1">
      <c r="A15" s="430"/>
      <c r="B15" s="430"/>
      <c r="C15" s="430"/>
      <c r="D15" s="430"/>
      <c r="E15" s="430"/>
      <c r="F15" s="430"/>
      <c r="G15" s="430"/>
      <c r="H15" s="430"/>
    </row>
    <row r="16" spans="1:8" s="176" customFormat="1" ht="48.75" customHeight="1">
      <c r="A16" s="430"/>
      <c r="B16" s="430"/>
      <c r="C16" s="430"/>
      <c r="D16" s="430"/>
      <c r="E16" s="430"/>
      <c r="F16" s="430"/>
      <c r="G16" s="430"/>
      <c r="H16" s="430"/>
    </row>
    <row r="17" spans="1:8" s="176" customFormat="1" ht="36" customHeight="1">
      <c r="A17" s="157"/>
      <c r="B17" s="158" t="s">
        <v>10</v>
      </c>
      <c r="C17" s="157" t="s">
        <v>107</v>
      </c>
      <c r="D17" s="17">
        <f>D18</f>
        <v>66436</v>
      </c>
      <c r="E17" s="17">
        <f>E18</f>
        <v>44237.1583236269</v>
      </c>
      <c r="F17" s="207">
        <f>E17-D17</f>
        <v>-22198.8416763731</v>
      </c>
      <c r="G17" s="159">
        <f>E17/D17*100-100</f>
        <v>-33.41387452040023</v>
      </c>
      <c r="H17" s="269"/>
    </row>
    <row r="18" spans="1:8" s="176" customFormat="1" ht="36.75" customHeight="1">
      <c r="A18" s="157"/>
      <c r="B18" s="158" t="s">
        <v>12</v>
      </c>
      <c r="C18" s="157" t="s">
        <v>107</v>
      </c>
      <c r="D18" s="17">
        <f>D58</f>
        <v>66436</v>
      </c>
      <c r="E18" s="17">
        <f>E20+E21+E22+E23+E24+E25+E26+E27+E28+E29</f>
        <v>44237.1583236269</v>
      </c>
      <c r="F18" s="207">
        <f>E18-D18</f>
        <v>-22198.8416763731</v>
      </c>
      <c r="G18" s="159">
        <f>E18/D18*100-100</f>
        <v>-33.41387452040023</v>
      </c>
      <c r="H18" s="269"/>
    </row>
    <row r="19" spans="1:10" s="176" customFormat="1" ht="15.75" customHeight="1">
      <c r="A19" s="157"/>
      <c r="B19" s="160" t="s">
        <v>13</v>
      </c>
      <c r="C19" s="157"/>
      <c r="D19" s="157"/>
      <c r="E19" s="208"/>
      <c r="F19" s="207"/>
      <c r="G19" s="159"/>
      <c r="H19" s="269"/>
      <c r="J19" s="176" t="s">
        <v>222</v>
      </c>
    </row>
    <row r="20" spans="1:10" s="179" customFormat="1" ht="64.5" customHeight="1">
      <c r="A20" s="162">
        <v>1</v>
      </c>
      <c r="B20" s="163" t="s">
        <v>14</v>
      </c>
      <c r="C20" s="23" t="s">
        <v>107</v>
      </c>
      <c r="D20" s="23">
        <v>47626</v>
      </c>
      <c r="E20" s="194">
        <f>'[8]5 мес'!$G$11+'[7]прил.1'!$BB$14</f>
        <v>31705.01691</v>
      </c>
      <c r="F20" s="207">
        <f aca="true" t="shared" si="0" ref="F20:F29">E20-D20</f>
        <v>-15920.983090000002</v>
      </c>
      <c r="G20" s="159">
        <f aca="true" t="shared" si="1" ref="G20:G29">E20/D20*100-100</f>
        <v>-33.42918382816109</v>
      </c>
      <c r="H20" s="267"/>
      <c r="I20" s="192"/>
      <c r="J20" s="192">
        <f>E20/E18*100</f>
        <v>71.67055505250768</v>
      </c>
    </row>
    <row r="21" spans="1:10" s="131" customFormat="1" ht="36" customHeight="1">
      <c r="A21" s="162">
        <v>2</v>
      </c>
      <c r="B21" s="118" t="s">
        <v>185</v>
      </c>
      <c r="C21" s="27" t="s">
        <v>107</v>
      </c>
      <c r="D21" s="27">
        <v>4019</v>
      </c>
      <c r="E21" s="194">
        <f>'[6]5 мес'!$G$12+'[7]прил.1'!$BB$15</f>
        <v>2836.498</v>
      </c>
      <c r="F21" s="207">
        <f t="shared" si="0"/>
        <v>-1182.502</v>
      </c>
      <c r="G21" s="159">
        <f t="shared" si="1"/>
        <v>-29.42279173923862</v>
      </c>
      <c r="H21" s="164"/>
      <c r="I21" s="192"/>
      <c r="J21" s="192" t="e">
        <f aca="true" t="shared" si="2" ref="J21:J58">E21/E19*100</f>
        <v>#DIV/0!</v>
      </c>
    </row>
    <row r="22" spans="1:10" s="131" customFormat="1" ht="36" customHeight="1">
      <c r="A22" s="162">
        <v>3</v>
      </c>
      <c r="B22" s="283" t="s">
        <v>160</v>
      </c>
      <c r="C22" s="27" t="s">
        <v>107</v>
      </c>
      <c r="D22" s="27">
        <v>1410</v>
      </c>
      <c r="E22" s="194">
        <f>'[6]5 мес'!$G$13+'[7]прил.1'!$BB$16</f>
        <v>953.34974</v>
      </c>
      <c r="F22" s="207">
        <f t="shared" si="0"/>
        <v>-456.65026</v>
      </c>
      <c r="G22" s="159">
        <f t="shared" si="1"/>
        <v>-32.38654326241135</v>
      </c>
      <c r="H22" s="164"/>
      <c r="I22" s="192"/>
      <c r="J22" s="192">
        <f t="shared" si="2"/>
        <v>3.006936544794292</v>
      </c>
    </row>
    <row r="23" spans="1:10" s="133" customFormat="1" ht="39.75" customHeight="1">
      <c r="A23" s="162">
        <v>4</v>
      </c>
      <c r="B23" s="51" t="s">
        <v>16</v>
      </c>
      <c r="C23" s="27" t="s">
        <v>107</v>
      </c>
      <c r="D23" s="27">
        <v>5274</v>
      </c>
      <c r="E23" s="194">
        <f>'[6]5 мес'!$G$14+'[7]прил.1'!$BB$18</f>
        <v>2856.505</v>
      </c>
      <c r="F23" s="207">
        <f t="shared" si="0"/>
        <v>-2417.495</v>
      </c>
      <c r="G23" s="159">
        <f t="shared" si="1"/>
        <v>-45.837978763746676</v>
      </c>
      <c r="H23" s="164"/>
      <c r="I23" s="192"/>
      <c r="J23" s="192">
        <f t="shared" si="2"/>
        <v>100.70534158670303</v>
      </c>
    </row>
    <row r="24" spans="1:10" s="133" customFormat="1" ht="15">
      <c r="A24" s="162">
        <v>5</v>
      </c>
      <c r="B24" s="51" t="s">
        <v>17</v>
      </c>
      <c r="C24" s="27" t="s">
        <v>107</v>
      </c>
      <c r="D24" s="27">
        <v>360</v>
      </c>
      <c r="E24" s="194">
        <f>'[6]5 мес'!$G$15+'[7]прил.1'!$BB$17</f>
        <v>251.46495</v>
      </c>
      <c r="F24" s="207">
        <f t="shared" si="0"/>
        <v>-108.53505000000001</v>
      </c>
      <c r="G24" s="159">
        <f t="shared" si="1"/>
        <v>-30.14862500000001</v>
      </c>
      <c r="H24" s="164"/>
      <c r="I24" s="192"/>
      <c r="J24" s="192">
        <f t="shared" si="2"/>
        <v>26.376988365256178</v>
      </c>
    </row>
    <row r="25" spans="1:10" s="133" customFormat="1" ht="52.5" customHeight="1">
      <c r="A25" s="162">
        <v>6</v>
      </c>
      <c r="B25" s="51" t="s">
        <v>108</v>
      </c>
      <c r="C25" s="27" t="s">
        <v>107</v>
      </c>
      <c r="D25" s="27">
        <v>58</v>
      </c>
      <c r="E25" s="194">
        <f>'[6]5 мес'!$G$41+'[7]прил.1'!$BB$22</f>
        <v>10.273333333333333</v>
      </c>
      <c r="F25" s="207">
        <f t="shared" si="0"/>
        <v>-47.72666666666667</v>
      </c>
      <c r="G25" s="159">
        <f t="shared" si="1"/>
        <v>-82.28735632183908</v>
      </c>
      <c r="H25" s="258"/>
      <c r="I25" s="192"/>
      <c r="J25" s="192">
        <f t="shared" si="2"/>
        <v>0.35964695785000667</v>
      </c>
    </row>
    <row r="26" spans="1:14" s="133" customFormat="1" ht="15">
      <c r="A26" s="162">
        <v>7</v>
      </c>
      <c r="B26" s="51" t="s">
        <v>18</v>
      </c>
      <c r="C26" s="27" t="s">
        <v>107</v>
      </c>
      <c r="D26" s="27">
        <v>457</v>
      </c>
      <c r="E26" s="23">
        <f>'[6]5 мес'!$G$16+'[7]прил.1'!$BB$19</f>
        <v>279.2859181603463</v>
      </c>
      <c r="F26" s="207">
        <f t="shared" si="0"/>
        <v>-177.71408183965372</v>
      </c>
      <c r="G26" s="159">
        <f t="shared" si="1"/>
        <v>-38.887107623556616</v>
      </c>
      <c r="H26" s="164"/>
      <c r="I26" s="192"/>
      <c r="J26" s="192">
        <f t="shared" si="2"/>
        <v>111.06355703263866</v>
      </c>
      <c r="K26" s="271"/>
      <c r="L26" s="271"/>
      <c r="M26" s="271"/>
      <c r="N26" s="271"/>
    </row>
    <row r="27" spans="1:10" s="133" customFormat="1" ht="19.5" customHeight="1">
      <c r="A27" s="162">
        <v>8</v>
      </c>
      <c r="B27" s="51" t="s">
        <v>19</v>
      </c>
      <c r="C27" s="27" t="s">
        <v>107</v>
      </c>
      <c r="D27" s="27">
        <v>526</v>
      </c>
      <c r="E27" s="194">
        <f>'[6]5 мес'!$G$17+'[7]прил.1'!$BB$20</f>
        <v>246.28012173333335</v>
      </c>
      <c r="F27" s="207">
        <f t="shared" si="0"/>
        <v>-279.7198782666667</v>
      </c>
      <c r="G27" s="159">
        <f t="shared" si="1"/>
        <v>-53.178684081115335</v>
      </c>
      <c r="H27" s="164"/>
      <c r="I27" s="192"/>
      <c r="J27" s="192">
        <f t="shared" si="2"/>
        <v>2397.2756820246595</v>
      </c>
    </row>
    <row r="28" spans="1:10" s="133" customFormat="1" ht="47.25" customHeight="1">
      <c r="A28" s="162">
        <v>9</v>
      </c>
      <c r="B28" s="51" t="s">
        <v>21</v>
      </c>
      <c r="C28" s="27" t="s">
        <v>107</v>
      </c>
      <c r="D28" s="27">
        <v>872</v>
      </c>
      <c r="E28" s="194">
        <f>'[6]5 мес'!$G$19+'[7]прил.1'!$BB$21</f>
        <v>1024.3416666666667</v>
      </c>
      <c r="F28" s="207">
        <f t="shared" si="0"/>
        <v>152.3416666666667</v>
      </c>
      <c r="G28" s="159">
        <f t="shared" si="1"/>
        <v>17.470374617737022</v>
      </c>
      <c r="H28" s="164" t="s">
        <v>218</v>
      </c>
      <c r="I28" s="192">
        <f>E28-D28</f>
        <v>152.3416666666667</v>
      </c>
      <c r="J28" s="192">
        <f t="shared" si="2"/>
        <v>366.7716845210083</v>
      </c>
    </row>
    <row r="29" spans="1:10" s="133" customFormat="1" ht="22.5" customHeight="1">
      <c r="A29" s="162">
        <v>10</v>
      </c>
      <c r="B29" s="51" t="s">
        <v>23</v>
      </c>
      <c r="C29" s="27" t="s">
        <v>107</v>
      </c>
      <c r="D29" s="27">
        <f>SUM(D31:D57)</f>
        <v>5834</v>
      </c>
      <c r="E29" s="23">
        <f>SUM(E31:E57)</f>
        <v>4074.1426837332274</v>
      </c>
      <c r="F29" s="207">
        <f t="shared" si="0"/>
        <v>-1759.8573162667726</v>
      </c>
      <c r="G29" s="159">
        <f t="shared" si="1"/>
        <v>-30.165535074850396</v>
      </c>
      <c r="H29" s="266"/>
      <c r="I29" s="192">
        <f aca="true" t="shared" si="3" ref="I29:I52">E29-D29</f>
        <v>-1759.8573162667726</v>
      </c>
      <c r="J29" s="192">
        <f t="shared" si="2"/>
        <v>1654.2718328459407</v>
      </c>
    </row>
    <row r="30" spans="1:10" s="133" customFormat="1" ht="17.25" customHeight="1">
      <c r="A30" s="162"/>
      <c r="B30" s="119" t="s">
        <v>13</v>
      </c>
      <c r="C30" s="27"/>
      <c r="D30" s="27"/>
      <c r="E30" s="194"/>
      <c r="F30" s="207"/>
      <c r="G30" s="159"/>
      <c r="H30" s="266"/>
      <c r="I30" s="192">
        <f t="shared" si="3"/>
        <v>0</v>
      </c>
      <c r="J30" s="192">
        <f t="shared" si="2"/>
        <v>0</v>
      </c>
    </row>
    <row r="31" spans="1:10" s="133" customFormat="1" ht="15">
      <c r="A31" s="165" t="s">
        <v>161</v>
      </c>
      <c r="B31" s="51" t="s">
        <v>24</v>
      </c>
      <c r="C31" s="27" t="s">
        <v>107</v>
      </c>
      <c r="D31" s="27">
        <v>276</v>
      </c>
      <c r="E31" s="194">
        <f>'[6]5 мес'!$G$23+'[7]прил.1'!$BB$31</f>
        <v>54.56900000000002</v>
      </c>
      <c r="F31" s="207">
        <f aca="true" t="shared" si="4" ref="F31:F57">E31-D31</f>
        <v>-221.43099999999998</v>
      </c>
      <c r="G31" s="159">
        <f>E31/D31*100-100</f>
        <v>-80.22862318840579</v>
      </c>
      <c r="H31" s="164"/>
      <c r="I31" s="192">
        <f t="shared" si="3"/>
        <v>-221.43099999999998</v>
      </c>
      <c r="J31" s="192">
        <f t="shared" si="2"/>
        <v>1.3393983528823599</v>
      </c>
    </row>
    <row r="32" spans="1:10" s="133" customFormat="1" ht="15">
      <c r="A32" s="165" t="s">
        <v>162</v>
      </c>
      <c r="B32" s="51" t="s">
        <v>25</v>
      </c>
      <c r="C32" s="27" t="s">
        <v>107</v>
      </c>
      <c r="D32" s="27">
        <v>2</v>
      </c>
      <c r="E32" s="194">
        <f>'[6]5 мес'!$G$24+'[7]прил.1'!$BB$32</f>
        <v>2</v>
      </c>
      <c r="F32" s="207">
        <f t="shared" si="4"/>
        <v>0</v>
      </c>
      <c r="G32" s="159">
        <f>E32/D32*100-100</f>
        <v>0</v>
      </c>
      <c r="H32" s="257"/>
      <c r="I32" s="192">
        <f t="shared" si="3"/>
        <v>0</v>
      </c>
      <c r="J32" s="192" t="e">
        <f t="shared" si="2"/>
        <v>#DIV/0!</v>
      </c>
    </row>
    <row r="33" spans="1:10" s="133" customFormat="1" ht="19.5" customHeight="1">
      <c r="A33" s="165" t="s">
        <v>163</v>
      </c>
      <c r="B33" s="51" t="s">
        <v>26</v>
      </c>
      <c r="C33" s="27" t="s">
        <v>107</v>
      </c>
      <c r="D33" s="27">
        <v>0</v>
      </c>
      <c r="E33" s="194">
        <v>0</v>
      </c>
      <c r="F33" s="207">
        <f t="shared" si="4"/>
        <v>0</v>
      </c>
      <c r="G33" s="159">
        <v>0</v>
      </c>
      <c r="H33" s="258"/>
      <c r="I33" s="192">
        <f t="shared" si="3"/>
        <v>0</v>
      </c>
      <c r="J33" s="192">
        <f t="shared" si="2"/>
        <v>0</v>
      </c>
    </row>
    <row r="34" spans="1:10" s="133" customFormat="1" ht="27" customHeight="1">
      <c r="A34" s="165" t="s">
        <v>164</v>
      </c>
      <c r="B34" s="51" t="s">
        <v>109</v>
      </c>
      <c r="C34" s="27" t="s">
        <v>107</v>
      </c>
      <c r="D34" s="27">
        <v>404</v>
      </c>
      <c r="E34" s="194">
        <f>'[6]5 мес'!$G$26+'[7]прил.1'!$BB$33</f>
        <v>173.99266666666665</v>
      </c>
      <c r="F34" s="207">
        <f t="shared" si="4"/>
        <v>-230.00733333333335</v>
      </c>
      <c r="G34" s="159">
        <f aca="true" t="shared" si="5" ref="G34:G46">E34/D34*100-100</f>
        <v>-56.93250825082509</v>
      </c>
      <c r="H34" s="258"/>
      <c r="I34" s="192">
        <f t="shared" si="3"/>
        <v>-230.00733333333335</v>
      </c>
      <c r="J34" s="192">
        <f t="shared" si="2"/>
        <v>8699.633333333333</v>
      </c>
    </row>
    <row r="35" spans="1:10" s="133" customFormat="1" ht="48.75" customHeight="1">
      <c r="A35" s="165" t="s">
        <v>165</v>
      </c>
      <c r="B35" s="51" t="s">
        <v>28</v>
      </c>
      <c r="C35" s="127" t="s">
        <v>107</v>
      </c>
      <c r="D35" s="27">
        <v>52</v>
      </c>
      <c r="E35" s="194">
        <f>'[6]5 мес'!$G$27+'[7]прил.1'!$BB$35</f>
        <v>20.894333333333332</v>
      </c>
      <c r="F35" s="207">
        <f t="shared" si="4"/>
        <v>-31.105666666666668</v>
      </c>
      <c r="G35" s="159">
        <f t="shared" si="5"/>
        <v>-59.81858974358975</v>
      </c>
      <c r="H35" s="258"/>
      <c r="I35" s="192">
        <f t="shared" si="3"/>
        <v>-31.105666666666668</v>
      </c>
      <c r="J35" s="192" t="e">
        <f t="shared" si="2"/>
        <v>#DIV/0!</v>
      </c>
    </row>
    <row r="36" spans="1:10" s="133" customFormat="1" ht="42" customHeight="1">
      <c r="A36" s="165" t="s">
        <v>166</v>
      </c>
      <c r="B36" s="51" t="s">
        <v>29</v>
      </c>
      <c r="C36" s="27" t="s">
        <v>107</v>
      </c>
      <c r="D36" s="195">
        <v>20</v>
      </c>
      <c r="E36" s="194">
        <f>'[6]5 мес'!$G$28+'[7]прил.1'!$BB$30</f>
        <v>11.601666666666667</v>
      </c>
      <c r="F36" s="207">
        <f t="shared" si="4"/>
        <v>-8.398333333333333</v>
      </c>
      <c r="G36" s="159">
        <f t="shared" si="5"/>
        <v>-41.991666666666674</v>
      </c>
      <c r="H36" s="258"/>
      <c r="I36" s="192">
        <f t="shared" si="3"/>
        <v>-8.398333333333333</v>
      </c>
      <c r="J36" s="192">
        <f t="shared" si="2"/>
        <v>6.667905543911814</v>
      </c>
    </row>
    <row r="37" spans="1:10" s="133" customFormat="1" ht="44.25" customHeight="1">
      <c r="A37" s="165" t="s">
        <v>167</v>
      </c>
      <c r="B37" s="51" t="s">
        <v>120</v>
      </c>
      <c r="C37" s="27" t="s">
        <v>107</v>
      </c>
      <c r="D37" s="27">
        <v>23</v>
      </c>
      <c r="E37" s="194">
        <f>'[6]5 мес'!$G$29+'[7]прил.1'!$BB$28</f>
        <v>22.31866666666667</v>
      </c>
      <c r="F37" s="207">
        <f t="shared" si="4"/>
        <v>-0.6813333333333311</v>
      </c>
      <c r="G37" s="159">
        <f t="shared" si="5"/>
        <v>-2.962318840579698</v>
      </c>
      <c r="H37" s="258"/>
      <c r="I37" s="192">
        <f t="shared" si="3"/>
        <v>-0.6813333333333311</v>
      </c>
      <c r="J37" s="192">
        <f t="shared" si="2"/>
        <v>106.81684029162612</v>
      </c>
    </row>
    <row r="38" spans="1:10" s="133" customFormat="1" ht="35.25" customHeight="1">
      <c r="A38" s="165" t="s">
        <v>169</v>
      </c>
      <c r="B38" s="51" t="s">
        <v>110</v>
      </c>
      <c r="C38" s="27" t="s">
        <v>107</v>
      </c>
      <c r="D38" s="27">
        <v>1410</v>
      </c>
      <c r="E38" s="194">
        <f>'[6]5 мес'!$G$37+'[7]прил.1'!$BB$25</f>
        <v>1092.554</v>
      </c>
      <c r="F38" s="207">
        <f t="shared" si="4"/>
        <v>-317.4459999999999</v>
      </c>
      <c r="G38" s="159">
        <f t="shared" si="5"/>
        <v>-22.513900709219854</v>
      </c>
      <c r="H38" s="164"/>
      <c r="I38" s="192">
        <f t="shared" si="3"/>
        <v>-317.4459999999999</v>
      </c>
      <c r="J38" s="192">
        <f t="shared" si="2"/>
        <v>9417.215917253268</v>
      </c>
    </row>
    <row r="39" spans="1:10" s="133" customFormat="1" ht="15">
      <c r="A39" s="165" t="s">
        <v>168</v>
      </c>
      <c r="B39" s="51" t="s">
        <v>31</v>
      </c>
      <c r="C39" s="127" t="s">
        <v>107</v>
      </c>
      <c r="D39" s="27">
        <v>425</v>
      </c>
      <c r="E39" s="194">
        <f>'[6]5 мес'!$G$30+'[7]прил.1'!$BB$39</f>
        <v>116.59066666666666</v>
      </c>
      <c r="F39" s="207">
        <f t="shared" si="4"/>
        <v>-308.40933333333334</v>
      </c>
      <c r="G39" s="159">
        <f t="shared" si="5"/>
        <v>-72.56690196078432</v>
      </c>
      <c r="H39" s="257"/>
      <c r="I39" s="192">
        <f t="shared" si="3"/>
        <v>-308.40933333333334</v>
      </c>
      <c r="J39" s="192">
        <f t="shared" si="2"/>
        <v>522.3908238246012</v>
      </c>
    </row>
    <row r="40" spans="1:10" s="133" customFormat="1" ht="40.5" customHeight="1">
      <c r="A40" s="165" t="s">
        <v>170</v>
      </c>
      <c r="B40" s="51" t="s">
        <v>32</v>
      </c>
      <c r="C40" s="27" t="s">
        <v>107</v>
      </c>
      <c r="D40" s="27">
        <v>999</v>
      </c>
      <c r="E40" s="194">
        <f>'[6]5 мес'!$G$31+'[7]прил.1'!$BB$40</f>
        <v>542.7139999999999</v>
      </c>
      <c r="F40" s="207">
        <f t="shared" si="4"/>
        <v>-456.28600000000006</v>
      </c>
      <c r="G40" s="159">
        <f t="shared" si="5"/>
        <v>-45.67427427427428</v>
      </c>
      <c r="H40" s="257"/>
      <c r="I40" s="192">
        <f t="shared" si="3"/>
        <v>-456.28600000000006</v>
      </c>
      <c r="J40" s="192">
        <f t="shared" si="2"/>
        <v>49.67388339615249</v>
      </c>
    </row>
    <row r="41" spans="1:10" s="133" customFormat="1" ht="15">
      <c r="A41" s="165" t="s">
        <v>171</v>
      </c>
      <c r="B41" s="51" t="s">
        <v>33</v>
      </c>
      <c r="C41" s="27" t="s">
        <v>107</v>
      </c>
      <c r="D41" s="27">
        <v>150</v>
      </c>
      <c r="E41" s="194">
        <f>'[6]5 мес'!$G$32+'[7]прил.1'!$BB$41</f>
        <v>51.146</v>
      </c>
      <c r="F41" s="207">
        <f t="shared" si="4"/>
        <v>-98.854</v>
      </c>
      <c r="G41" s="159">
        <f t="shared" si="5"/>
        <v>-65.90266666666666</v>
      </c>
      <c r="H41" s="164"/>
      <c r="I41" s="192">
        <f t="shared" si="3"/>
        <v>-98.854</v>
      </c>
      <c r="J41" s="192">
        <f t="shared" si="2"/>
        <v>43.86800544354608</v>
      </c>
    </row>
    <row r="42" spans="1:10" s="133" customFormat="1" ht="88.5" customHeight="1">
      <c r="A42" s="165" t="s">
        <v>172</v>
      </c>
      <c r="B42" s="51" t="s">
        <v>34</v>
      </c>
      <c r="C42" s="27" t="s">
        <v>107</v>
      </c>
      <c r="D42" s="27">
        <v>151</v>
      </c>
      <c r="E42" s="194">
        <f>'[6]5 мес'!$G$33+'[7]прил.1'!$BB$26</f>
        <v>0</v>
      </c>
      <c r="F42" s="207">
        <f t="shared" si="4"/>
        <v>-151</v>
      </c>
      <c r="G42" s="159">
        <f t="shared" si="5"/>
        <v>-100</v>
      </c>
      <c r="H42" s="286"/>
      <c r="I42" s="192">
        <f t="shared" si="3"/>
        <v>-151</v>
      </c>
      <c r="J42" s="192">
        <f t="shared" si="2"/>
        <v>0</v>
      </c>
    </row>
    <row r="43" spans="1:10" s="133" customFormat="1" ht="64.5" customHeight="1">
      <c r="A43" s="165" t="s">
        <v>173</v>
      </c>
      <c r="B43" s="51" t="s">
        <v>45</v>
      </c>
      <c r="C43" s="27" t="s">
        <v>107</v>
      </c>
      <c r="D43" s="27">
        <v>17</v>
      </c>
      <c r="E43" s="194">
        <f>'[6]5 мес'!$G$44+'[7]прил.1'!$BB$29</f>
        <v>131.6845871998942</v>
      </c>
      <c r="F43" s="207">
        <f t="shared" si="4"/>
        <v>114.6845871998942</v>
      </c>
      <c r="G43" s="159">
        <f t="shared" si="5"/>
        <v>674.615218822907</v>
      </c>
      <c r="H43" s="257" t="s">
        <v>219</v>
      </c>
      <c r="I43" s="192">
        <f t="shared" si="3"/>
        <v>114.6845871998942</v>
      </c>
      <c r="J43" s="192">
        <f t="shared" si="2"/>
        <v>257.4680076641266</v>
      </c>
    </row>
    <row r="44" spans="1:10" s="133" customFormat="1" ht="55.5" customHeight="1">
      <c r="A44" s="165" t="s">
        <v>174</v>
      </c>
      <c r="B44" s="51" t="s">
        <v>35</v>
      </c>
      <c r="C44" s="27" t="s">
        <v>107</v>
      </c>
      <c r="D44" s="27">
        <v>249</v>
      </c>
      <c r="E44" s="194">
        <f>'[6]5 мес'!$G$34+'[7]прил.1'!$BB$42</f>
        <v>218.112</v>
      </c>
      <c r="F44" s="207">
        <f t="shared" si="4"/>
        <v>-30.888000000000005</v>
      </c>
      <c r="G44" s="159">
        <f t="shared" si="5"/>
        <v>-12.40481927710843</v>
      </c>
      <c r="H44" s="257"/>
      <c r="I44" s="192">
        <f>E44-D44</f>
        <v>-30.888000000000005</v>
      </c>
      <c r="J44" s="192" t="e">
        <f t="shared" si="2"/>
        <v>#DIV/0!</v>
      </c>
    </row>
    <row r="45" spans="1:10" s="133" customFormat="1" ht="20.25" customHeight="1">
      <c r="A45" s="165" t="s">
        <v>175</v>
      </c>
      <c r="B45" s="51" t="s">
        <v>36</v>
      </c>
      <c r="C45" s="27" t="s">
        <v>107</v>
      </c>
      <c r="D45" s="27">
        <v>238</v>
      </c>
      <c r="E45" s="194">
        <f>'[6]5 мес'!$G$35+'[7]прил.1'!$BB$34</f>
        <v>114.82333333333332</v>
      </c>
      <c r="F45" s="207">
        <f t="shared" si="4"/>
        <v>-123.17666666666668</v>
      </c>
      <c r="G45" s="159">
        <f t="shared" si="5"/>
        <v>-51.754901960784316</v>
      </c>
      <c r="H45" s="164"/>
      <c r="I45" s="192">
        <f t="shared" si="3"/>
        <v>-123.17666666666668</v>
      </c>
      <c r="J45" s="192">
        <f t="shared" si="2"/>
        <v>87.19572713474366</v>
      </c>
    </row>
    <row r="46" spans="1:10" s="133" customFormat="1" ht="39" customHeight="1">
      <c r="A46" s="165" t="s">
        <v>176</v>
      </c>
      <c r="B46" s="51" t="s">
        <v>37</v>
      </c>
      <c r="C46" s="27" t="s">
        <v>107</v>
      </c>
      <c r="D46" s="27">
        <v>107</v>
      </c>
      <c r="E46" s="194">
        <f>'[6]5 мес'!$G$36+'[7]прил.1'!$BB$43</f>
        <v>40.271606666666656</v>
      </c>
      <c r="F46" s="207">
        <f t="shared" si="4"/>
        <v>-66.72839333333334</v>
      </c>
      <c r="G46" s="159">
        <f t="shared" si="5"/>
        <v>-62.36298442367602</v>
      </c>
      <c r="H46" s="257"/>
      <c r="I46" s="192">
        <f t="shared" si="3"/>
        <v>-66.72839333333334</v>
      </c>
      <c r="J46" s="192">
        <f t="shared" si="2"/>
        <v>18.463728115219087</v>
      </c>
    </row>
    <row r="47" spans="1:10" s="133" customFormat="1" ht="35.25" customHeight="1">
      <c r="A47" s="165" t="s">
        <v>177</v>
      </c>
      <c r="B47" s="51" t="s">
        <v>39</v>
      </c>
      <c r="C47" s="27" t="s">
        <v>107</v>
      </c>
      <c r="D47" s="27">
        <v>92</v>
      </c>
      <c r="E47" s="194">
        <f>'[6]5 мес'!$G$38+'[7]прил.1'!$BB$36</f>
        <v>42.5</v>
      </c>
      <c r="F47" s="207">
        <f t="shared" si="4"/>
        <v>-49.5</v>
      </c>
      <c r="G47" s="159">
        <v>0</v>
      </c>
      <c r="H47" s="164"/>
      <c r="I47" s="192">
        <f t="shared" si="3"/>
        <v>-49.5</v>
      </c>
      <c r="J47" s="192">
        <f t="shared" si="2"/>
        <v>37.01338287804454</v>
      </c>
    </row>
    <row r="48" spans="1:10" s="133" customFormat="1" ht="15">
      <c r="A48" s="165" t="s">
        <v>178</v>
      </c>
      <c r="B48" s="51" t="s">
        <v>41</v>
      </c>
      <c r="C48" s="27" t="s">
        <v>107</v>
      </c>
      <c r="D48" s="27">
        <v>74</v>
      </c>
      <c r="E48" s="194">
        <f>'[6]5 мес'!$G$40+'[7]прил.1'!$BB$38</f>
        <v>6.166666666666667</v>
      </c>
      <c r="F48" s="207">
        <f t="shared" si="4"/>
        <v>-67.83333333333333</v>
      </c>
      <c r="G48" s="159">
        <v>0</v>
      </c>
      <c r="H48" s="164"/>
      <c r="I48" s="192">
        <f t="shared" si="3"/>
        <v>-67.83333333333333</v>
      </c>
      <c r="J48" s="192">
        <f t="shared" si="2"/>
        <v>15.312690943048215</v>
      </c>
    </row>
    <row r="49" spans="1:10" s="133" customFormat="1" ht="15">
      <c r="A49" s="165" t="s">
        <v>179</v>
      </c>
      <c r="B49" s="30" t="s">
        <v>40</v>
      </c>
      <c r="C49" s="27" t="s">
        <v>107</v>
      </c>
      <c r="D49" s="27">
        <v>0</v>
      </c>
      <c r="E49" s="194">
        <f>'[6]5 мес'!$G$39+'[7]прил.1'!$BB$44</f>
        <v>0</v>
      </c>
      <c r="F49" s="207">
        <f t="shared" si="4"/>
        <v>0</v>
      </c>
      <c r="G49" s="159">
        <v>0</v>
      </c>
      <c r="H49" s="164"/>
      <c r="I49" s="192">
        <f t="shared" si="3"/>
        <v>0</v>
      </c>
      <c r="J49" s="192">
        <f t="shared" si="2"/>
        <v>0</v>
      </c>
    </row>
    <row r="50" spans="1:10" s="133" customFormat="1" ht="23.25" customHeight="1">
      <c r="A50" s="165" t="s">
        <v>180</v>
      </c>
      <c r="B50" s="51" t="s">
        <v>121</v>
      </c>
      <c r="C50" s="27" t="s">
        <v>107</v>
      </c>
      <c r="D50" s="27">
        <v>27</v>
      </c>
      <c r="E50" s="194">
        <f>'[6]5 мес'!$G$42+'[7]прил.1'!$BB$27</f>
        <v>2.96</v>
      </c>
      <c r="F50" s="207">
        <f t="shared" si="4"/>
        <v>-24.04</v>
      </c>
      <c r="G50" s="159">
        <f aca="true" t="shared" si="6" ref="G50:G63">E50/D50*100-100</f>
        <v>-89.03703703703704</v>
      </c>
      <c r="H50" s="257"/>
      <c r="I50" s="192">
        <f t="shared" si="3"/>
        <v>-24.04</v>
      </c>
      <c r="J50" s="192">
        <f t="shared" si="2"/>
        <v>48</v>
      </c>
    </row>
    <row r="51" spans="1:10" s="133" customFormat="1" ht="23.25" customHeight="1">
      <c r="A51" s="165" t="s">
        <v>181</v>
      </c>
      <c r="B51" s="51" t="s">
        <v>146</v>
      </c>
      <c r="C51" s="27" t="s">
        <v>107</v>
      </c>
      <c r="D51" s="27">
        <v>18</v>
      </c>
      <c r="E51" s="194">
        <f>'[6]5 мес'!$G$43+'[7]прил.1'!$BB$46</f>
        <v>22.64</v>
      </c>
      <c r="F51" s="207">
        <f t="shared" si="4"/>
        <v>4.640000000000001</v>
      </c>
      <c r="G51" s="159">
        <f t="shared" si="6"/>
        <v>25.777777777777786</v>
      </c>
      <c r="H51" s="258" t="s">
        <v>220</v>
      </c>
      <c r="I51" s="192">
        <f t="shared" si="3"/>
        <v>4.640000000000001</v>
      </c>
      <c r="J51" s="192" t="e">
        <f t="shared" si="2"/>
        <v>#DIV/0!</v>
      </c>
    </row>
    <row r="52" spans="1:10" s="133" customFormat="1" ht="23.25" customHeight="1">
      <c r="A52" s="165" t="s">
        <v>182</v>
      </c>
      <c r="B52" s="51" t="s">
        <v>46</v>
      </c>
      <c r="C52" s="27" t="s">
        <v>107</v>
      </c>
      <c r="D52" s="27">
        <v>665</v>
      </c>
      <c r="E52" s="194">
        <f>'[6]5 мес'!$G$45+'[7]прил.1'!$BB$37</f>
        <v>1286.9634298666667</v>
      </c>
      <c r="F52" s="207">
        <f t="shared" si="4"/>
        <v>621.9634298666667</v>
      </c>
      <c r="G52" s="159">
        <f t="shared" si="6"/>
        <v>93.52833531829575</v>
      </c>
      <c r="H52" s="257" t="s">
        <v>229</v>
      </c>
      <c r="I52" s="192">
        <f t="shared" si="3"/>
        <v>621.9634298666667</v>
      </c>
      <c r="J52" s="192">
        <f t="shared" si="2"/>
        <v>43478.494252252254</v>
      </c>
    </row>
    <row r="53" spans="1:10" s="133" customFormat="1" ht="23.25" customHeight="1">
      <c r="A53" s="165" t="s">
        <v>183</v>
      </c>
      <c r="B53" s="51" t="s">
        <v>196</v>
      </c>
      <c r="C53" s="27" t="s">
        <v>107</v>
      </c>
      <c r="D53" s="27">
        <v>56</v>
      </c>
      <c r="E53" s="194">
        <f>'[6]5 мес'!$G$46+'[7]прил.1'!$BB$47</f>
        <v>4.666666666666667</v>
      </c>
      <c r="F53" s="207">
        <f t="shared" si="4"/>
        <v>-51.333333333333336</v>
      </c>
      <c r="G53" s="159">
        <f t="shared" si="6"/>
        <v>-91.66666666666667</v>
      </c>
      <c r="H53" s="257"/>
      <c r="I53" s="192"/>
      <c r="J53" s="192">
        <f t="shared" si="2"/>
        <v>20.61248527679623</v>
      </c>
    </row>
    <row r="54" spans="1:10" s="133" customFormat="1" ht="23.25" customHeight="1">
      <c r="A54" s="165" t="s">
        <v>207</v>
      </c>
      <c r="B54" s="51" t="s">
        <v>197</v>
      </c>
      <c r="C54" s="27" t="s">
        <v>107</v>
      </c>
      <c r="D54" s="27">
        <v>287</v>
      </c>
      <c r="E54" s="194">
        <f>'[6]5 мес'!$G$47+'[7]прил.1'!$BB$48</f>
        <v>78.79572666666667</v>
      </c>
      <c r="F54" s="207">
        <f t="shared" si="4"/>
        <v>-208.20427333333333</v>
      </c>
      <c r="G54" s="159">
        <f t="shared" si="6"/>
        <v>-72.54504297328688</v>
      </c>
      <c r="H54" s="257"/>
      <c r="I54" s="192"/>
      <c r="J54" s="192">
        <f t="shared" si="2"/>
        <v>6.122608058476855</v>
      </c>
    </row>
    <row r="55" spans="1:10" s="133" customFormat="1" ht="23.25" customHeight="1">
      <c r="A55" s="165" t="s">
        <v>208</v>
      </c>
      <c r="B55" s="51" t="s">
        <v>198</v>
      </c>
      <c r="C55" s="27" t="s">
        <v>107</v>
      </c>
      <c r="D55" s="27">
        <v>35</v>
      </c>
      <c r="E55" s="194">
        <f>'[6]5 мес'!$G$48+'[7]прил.1'!$BB$49</f>
        <v>2.9166666666666665</v>
      </c>
      <c r="F55" s="207">
        <f t="shared" si="4"/>
        <v>-32.083333333333336</v>
      </c>
      <c r="G55" s="159">
        <f t="shared" si="6"/>
        <v>-91.66666666666667</v>
      </c>
      <c r="H55" s="257"/>
      <c r="I55" s="192"/>
      <c r="J55" s="192">
        <f t="shared" si="2"/>
        <v>62.499999999999986</v>
      </c>
    </row>
    <row r="56" spans="1:10" s="133" customFormat="1" ht="23.25" customHeight="1">
      <c r="A56" s="165" t="s">
        <v>209</v>
      </c>
      <c r="B56" s="51" t="s">
        <v>199</v>
      </c>
      <c r="C56" s="27" t="s">
        <v>107</v>
      </c>
      <c r="D56" s="27">
        <v>6</v>
      </c>
      <c r="E56" s="194">
        <v>0</v>
      </c>
      <c r="F56" s="207">
        <f t="shared" si="4"/>
        <v>-6</v>
      </c>
      <c r="G56" s="159">
        <f t="shared" si="6"/>
        <v>-100</v>
      </c>
      <c r="H56" s="257"/>
      <c r="I56" s="192"/>
      <c r="J56" s="192">
        <f t="shared" si="2"/>
        <v>0</v>
      </c>
    </row>
    <row r="57" spans="1:10" s="133" customFormat="1" ht="45.75" customHeight="1">
      <c r="A57" s="165" t="s">
        <v>210</v>
      </c>
      <c r="B57" s="51" t="s">
        <v>200</v>
      </c>
      <c r="C57" s="27" t="s">
        <v>107</v>
      </c>
      <c r="D57" s="27">
        <v>51</v>
      </c>
      <c r="E57" s="194">
        <f>'[6]5 мес'!$G$50+'[7]прил.1'!$BB$45</f>
        <v>33.260999999999996</v>
      </c>
      <c r="F57" s="207">
        <f t="shared" si="4"/>
        <v>-17.739000000000004</v>
      </c>
      <c r="G57" s="159">
        <f t="shared" si="6"/>
        <v>-34.78235294117647</v>
      </c>
      <c r="H57" s="257"/>
      <c r="I57" s="192"/>
      <c r="J57" s="192">
        <f t="shared" si="2"/>
        <v>1140.3771428571429</v>
      </c>
    </row>
    <row r="58" spans="1:10" s="133" customFormat="1" ht="18" customHeight="1">
      <c r="A58" s="166" t="s">
        <v>187</v>
      </c>
      <c r="B58" s="167" t="s">
        <v>47</v>
      </c>
      <c r="C58" s="17" t="s">
        <v>107</v>
      </c>
      <c r="D58" s="126">
        <f>D20+D21+D22+D23+D24+D25+D26+D27+D29+D28</f>
        <v>66436</v>
      </c>
      <c r="E58" s="126">
        <f>E17</f>
        <v>44237.1583236269</v>
      </c>
      <c r="F58" s="207">
        <f aca="true" t="shared" si="7" ref="F58:F63">E58-D58</f>
        <v>-22198.8416763731</v>
      </c>
      <c r="G58" s="159">
        <f t="shared" si="6"/>
        <v>-33.41387452040023</v>
      </c>
      <c r="H58" s="266"/>
      <c r="I58" s="192"/>
      <c r="J58" s="192" t="e">
        <f t="shared" si="2"/>
        <v>#DIV/0!</v>
      </c>
    </row>
    <row r="59" spans="1:8" s="133" customFormat="1" ht="22.5" customHeight="1">
      <c r="A59" s="168">
        <v>12</v>
      </c>
      <c r="B59" s="167" t="s">
        <v>111</v>
      </c>
      <c r="C59" s="126" t="s">
        <v>107</v>
      </c>
      <c r="D59" s="126">
        <v>392</v>
      </c>
      <c r="E59" s="280">
        <f>E61-E58</f>
        <v>-6785.238323626902</v>
      </c>
      <c r="F59" s="207">
        <f t="shared" si="7"/>
        <v>-7177.238323626902</v>
      </c>
      <c r="G59" s="159">
        <f t="shared" si="6"/>
        <v>-1830.928143782373</v>
      </c>
      <c r="H59" s="266"/>
    </row>
    <row r="60" spans="1:8" s="133" customFormat="1" ht="30.75" customHeight="1">
      <c r="A60" s="166" t="s">
        <v>188</v>
      </c>
      <c r="B60" s="167" t="s">
        <v>186</v>
      </c>
      <c r="C60" s="126" t="s">
        <v>107</v>
      </c>
      <c r="D60" s="126">
        <v>112082</v>
      </c>
      <c r="E60" s="126">
        <v>53969.815</v>
      </c>
      <c r="F60" s="207">
        <f t="shared" si="7"/>
        <v>-58112.185</v>
      </c>
      <c r="G60" s="159">
        <f t="shared" si="6"/>
        <v>-51.8479193804536</v>
      </c>
      <c r="H60" s="266"/>
    </row>
    <row r="61" spans="1:8" s="133" customFormat="1" ht="21.75" customHeight="1">
      <c r="A61" s="168">
        <v>14</v>
      </c>
      <c r="B61" s="167" t="s">
        <v>112</v>
      </c>
      <c r="C61" s="126" t="s">
        <v>107</v>
      </c>
      <c r="D61" s="126">
        <v>63313.53</v>
      </c>
      <c r="E61" s="280">
        <f>46.64*E62</f>
        <v>37451.92</v>
      </c>
      <c r="F61" s="207">
        <f t="shared" si="7"/>
        <v>-25861.61</v>
      </c>
      <c r="G61" s="159">
        <f t="shared" si="6"/>
        <v>-40.846893231194024</v>
      </c>
      <c r="H61" s="266"/>
    </row>
    <row r="62" spans="1:8" s="133" customFormat="1" ht="30.75">
      <c r="A62" s="166" t="s">
        <v>189</v>
      </c>
      <c r="B62" s="51" t="s">
        <v>74</v>
      </c>
      <c r="C62" s="27" t="s">
        <v>113</v>
      </c>
      <c r="D62" s="369">
        <v>1357.53</v>
      </c>
      <c r="E62" s="280">
        <v>803</v>
      </c>
      <c r="F62" s="207">
        <f t="shared" si="7"/>
        <v>-554.53</v>
      </c>
      <c r="G62" s="159">
        <f t="shared" si="6"/>
        <v>-40.84845270454428</v>
      </c>
      <c r="H62" s="285" t="s">
        <v>221</v>
      </c>
    </row>
    <row r="63" spans="1:9" s="227" customFormat="1" ht="24" customHeight="1">
      <c r="A63" s="168">
        <v>16</v>
      </c>
      <c r="B63" s="167" t="s">
        <v>114</v>
      </c>
      <c r="C63" s="126" t="s">
        <v>115</v>
      </c>
      <c r="D63" s="169">
        <f>D61/D62</f>
        <v>46.638770413913505</v>
      </c>
      <c r="E63" s="169">
        <f>E61/E62</f>
        <v>46.64</v>
      </c>
      <c r="F63" s="207">
        <f t="shared" si="7"/>
        <v>0.0012295860864952601</v>
      </c>
      <c r="G63" s="159">
        <f t="shared" si="6"/>
        <v>0.002636403309068669</v>
      </c>
      <c r="H63" s="164"/>
      <c r="I63" s="270"/>
    </row>
    <row r="64" spans="1:10" ht="62.25" customHeight="1">
      <c r="A64" s="166" t="s">
        <v>190</v>
      </c>
      <c r="B64" s="170" t="s">
        <v>192</v>
      </c>
      <c r="C64" s="27" t="s">
        <v>115</v>
      </c>
      <c r="D64" s="211">
        <v>3037.78</v>
      </c>
      <c r="E64" s="211">
        <v>3037.78</v>
      </c>
      <c r="F64" s="207"/>
      <c r="G64" s="159"/>
      <c r="H64" s="281"/>
      <c r="J64" s="189"/>
    </row>
    <row r="65" spans="1:8" ht="30.75">
      <c r="A65" s="168">
        <v>18</v>
      </c>
      <c r="B65" s="170" t="s">
        <v>116</v>
      </c>
      <c r="C65" s="27" t="s">
        <v>115</v>
      </c>
      <c r="D65" s="211">
        <v>2879.96</v>
      </c>
      <c r="E65" s="211">
        <v>2879.96</v>
      </c>
      <c r="F65" s="207"/>
      <c r="G65" s="159"/>
      <c r="H65" s="281"/>
    </row>
    <row r="66" spans="1:8" ht="30.75">
      <c r="A66" s="166" t="s">
        <v>191</v>
      </c>
      <c r="B66" s="170" t="s">
        <v>148</v>
      </c>
      <c r="C66" s="27" t="s">
        <v>115</v>
      </c>
      <c r="D66" s="211">
        <f>D63+D64+D65</f>
        <v>5964.378770413914</v>
      </c>
      <c r="E66" s="211">
        <f>E63+E64+E65</f>
        <v>5964.38</v>
      </c>
      <c r="F66" s="207"/>
      <c r="G66" s="159"/>
      <c r="H66" s="284"/>
    </row>
    <row r="67" spans="1:8" ht="53.25" customHeight="1">
      <c r="A67" s="429" t="s">
        <v>230</v>
      </c>
      <c r="B67" s="429"/>
      <c r="C67" s="429"/>
      <c r="D67" s="429"/>
      <c r="E67" s="429"/>
      <c r="F67" s="429"/>
      <c r="G67" s="429"/>
      <c r="H67" s="429"/>
    </row>
    <row r="68" spans="1:8" ht="26.25" customHeight="1">
      <c r="A68" s="431" t="s">
        <v>217</v>
      </c>
      <c r="B68" s="431"/>
      <c r="C68" s="431"/>
      <c r="D68" s="431"/>
      <c r="E68" s="431"/>
      <c r="F68" s="431"/>
      <c r="G68" s="431"/>
      <c r="H68" s="431"/>
    </row>
    <row r="69" spans="2:6" ht="22.5" customHeight="1">
      <c r="B69" s="434"/>
      <c r="C69" s="434"/>
      <c r="D69" s="434"/>
      <c r="F69" s="188"/>
    </row>
    <row r="70" spans="2:6" ht="22.5" customHeight="1">
      <c r="B70" s="434"/>
      <c r="C70" s="434"/>
      <c r="D70" s="434"/>
      <c r="F70" s="188"/>
    </row>
    <row r="71" spans="2:6" ht="22.5" customHeight="1">
      <c r="B71" s="265"/>
      <c r="D71" s="254"/>
      <c r="F71" s="188"/>
    </row>
    <row r="72" spans="2:6" ht="22.5" customHeight="1">
      <c r="B72" s="434"/>
      <c r="C72" s="434"/>
      <c r="D72" s="434"/>
      <c r="F72" s="188"/>
    </row>
    <row r="73" spans="2:6" ht="22.5" customHeight="1">
      <c r="B73" s="434"/>
      <c r="C73" s="434"/>
      <c r="D73" s="434"/>
      <c r="F73" s="188"/>
    </row>
    <row r="74" spans="2:6" ht="22.5" customHeight="1">
      <c r="B74" s="434"/>
      <c r="C74" s="434"/>
      <c r="D74" s="434"/>
      <c r="F74" s="188"/>
    </row>
    <row r="75" spans="2:6" ht="22.5" customHeight="1">
      <c r="B75" s="434"/>
      <c r="C75" s="434"/>
      <c r="D75" s="254"/>
      <c r="E75" s="255"/>
      <c r="F75" s="188"/>
    </row>
    <row r="76" spans="4:6" ht="22.5" customHeight="1">
      <c r="D76" s="254"/>
      <c r="E76" s="298"/>
      <c r="F76" s="188"/>
    </row>
    <row r="77" spans="4:6" ht="22.5" customHeight="1">
      <c r="D77" s="254"/>
      <c r="F77" s="188"/>
    </row>
    <row r="78" spans="4:6" ht="22.5" customHeight="1">
      <c r="D78" s="254"/>
      <c r="F78" s="188"/>
    </row>
    <row r="79" spans="4:6" ht="22.5" customHeight="1">
      <c r="D79" s="254"/>
      <c r="F79" s="188"/>
    </row>
    <row r="80" spans="1:8" ht="15">
      <c r="A80" s="149"/>
      <c r="B80" s="149"/>
      <c r="C80" s="150"/>
      <c r="D80" s="150"/>
      <c r="E80" s="150"/>
      <c r="F80" s="151"/>
      <c r="G80" s="151"/>
      <c r="H80" s="151"/>
    </row>
    <row r="81" spans="1:8" ht="29.25" customHeight="1">
      <c r="A81" s="149"/>
      <c r="B81" s="149"/>
      <c r="C81" s="150"/>
      <c r="D81" s="150"/>
      <c r="E81" s="150"/>
      <c r="F81" s="150"/>
      <c r="G81" s="152"/>
      <c r="H81" s="152"/>
    </row>
    <row r="82" spans="1:8" ht="15">
      <c r="A82" s="149"/>
      <c r="B82" s="149"/>
      <c r="C82" s="153"/>
      <c r="D82" s="153"/>
      <c r="E82" s="150"/>
      <c r="F82" s="154"/>
      <c r="G82" s="154"/>
      <c r="H82" s="154"/>
    </row>
    <row r="83" spans="1:8" ht="15" hidden="1">
      <c r="A83" s="149"/>
      <c r="B83" s="149"/>
      <c r="C83" s="150"/>
      <c r="D83" s="150"/>
      <c r="E83" s="150"/>
      <c r="F83" s="150"/>
      <c r="G83" s="155"/>
      <c r="H83" s="155"/>
    </row>
    <row r="84" spans="1:8" ht="15" hidden="1">
      <c r="A84" s="432"/>
      <c r="B84" s="432"/>
      <c r="C84" s="150"/>
      <c r="D84" s="150"/>
      <c r="E84" s="150"/>
      <c r="F84" s="150"/>
      <c r="G84" s="433"/>
      <c r="H84" s="433"/>
    </row>
    <row r="85" spans="4:6" ht="30" customHeight="1">
      <c r="D85" s="188"/>
      <c r="F85" s="188"/>
    </row>
    <row r="86" spans="1:8" ht="15">
      <c r="A86" s="150"/>
      <c r="D86" s="253"/>
      <c r="E86" s="253"/>
      <c r="F86" s="253"/>
      <c r="H86" s="155"/>
    </row>
    <row r="87" spans="4:6" ht="13.5">
      <c r="D87" s="253"/>
      <c r="E87" s="253"/>
      <c r="F87" s="253"/>
    </row>
    <row r="88" spans="4:6" ht="13.5">
      <c r="D88" s="253"/>
      <c r="E88" s="253"/>
      <c r="F88" s="253"/>
    </row>
    <row r="89" spans="4:6" ht="13.5">
      <c r="D89" s="253"/>
      <c r="E89" s="253"/>
      <c r="F89" s="253"/>
    </row>
    <row r="105" ht="13.5">
      <c r="B105" s="190"/>
    </row>
    <row r="106" ht="13.5">
      <c r="B106" s="190"/>
    </row>
  </sheetData>
  <sheetProtection/>
  <mergeCells count="22">
    <mergeCell ref="A4:H4"/>
    <mergeCell ref="B75:C75"/>
    <mergeCell ref="A6:H6"/>
    <mergeCell ref="A5:H5"/>
    <mergeCell ref="A7:H12"/>
    <mergeCell ref="B13:B16"/>
    <mergeCell ref="A84:B84"/>
    <mergeCell ref="G84:H84"/>
    <mergeCell ref="H13:H16"/>
    <mergeCell ref="B69:D69"/>
    <mergeCell ref="B70:D70"/>
    <mergeCell ref="B73:D73"/>
    <mergeCell ref="B74:D74"/>
    <mergeCell ref="F13:F16"/>
    <mergeCell ref="G13:G16"/>
    <mergeCell ref="B72:D72"/>
    <mergeCell ref="A67:H67"/>
    <mergeCell ref="E13:E16"/>
    <mergeCell ref="A13:A16"/>
    <mergeCell ref="C13:C16"/>
    <mergeCell ref="D13:D16"/>
    <mergeCell ref="A68:H68"/>
  </mergeCells>
  <hyperlinks>
    <hyperlink ref="H2" r:id="rId1" display="jl:31458903.100 "/>
  </hyperlinks>
  <printOptions horizontalCentered="1"/>
  <pageMargins left="0" right="0" top="0.5905511811023623" bottom="0" header="0" footer="0"/>
  <pageSetup fitToHeight="2" horizontalDpi="600" verticalDpi="600" orientation="landscape" paperSize="9" scale="49" r:id="rId3"/>
  <rowBreaks count="1" manualBreakCount="1">
    <brk id="3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aE-vedekonstplan</dc:creator>
  <cp:keywords/>
  <dc:description/>
  <cp:lastModifiedBy>Шерина Лилия Игоревна</cp:lastModifiedBy>
  <cp:lastPrinted>2022-10-26T08:05:30Z</cp:lastPrinted>
  <dcterms:created xsi:type="dcterms:W3CDTF">2011-02-25T11:41:59Z</dcterms:created>
  <dcterms:modified xsi:type="dcterms:W3CDTF">2023-08-01T12:39:02Z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